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9" yWindow="6548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<sst xmlns="http://schemas.openxmlformats.org/spreadsheetml/2006/main" count="164" uniqueCount="113">
  <si>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</si>
  <si>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</si>
  <si>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</si>
  <si>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</si>
  <si>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</si>
  <si>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</si>
  <si>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</si>
  <si>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</si>
  <si>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</si>
  <si>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</si>
  <si>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</si>
  <si>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</si>
  <si>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</si>
  <si>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</si>
  <si>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</si>
  <si>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</si>
  <si>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</si>
  <si>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</si>
  <si>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</si>
  <si>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</si>
  <si>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</si>
  <si>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</si>
  <si>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</si>
  <si>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</si>
  <si>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</si>
  <si>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</si>
  <si>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</si>
  <si>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</si>
  <si>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</si>
  <si>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</si>
  <si>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</si>
  <si>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</si>
  <si>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</si>
  <si>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</si>
  <si>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</si>
  <si>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</si>
  <si>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</si>
  <si>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</si>
  <si>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</si>
  <si>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</si>
  <si>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</si>
  <si>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</si>
  <si>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</si>
  <si>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</si>
  <si>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</si>
  <si>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</si>
  <si>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</si>
  <si>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</si>
  <si>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</si>
  <si>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</si>
  <si>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</si>
  <si>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</si>
  <si>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</si>
  <si>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</si>
  <si>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</si>
  <si>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</si>
  <si>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</si>
  <si>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</si>
  <si>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</si>
  <si>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</si>
  <si>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</si>
  <si>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</si>
  <si>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</si>
  <si>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</si>
  <si>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</si>
  <si>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</si>
  <si>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</si>
  <si>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</si>
  <si>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</si>
  <si>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</si>
  <si>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</si>
  <si>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</si>
  <si>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</si>
  <si>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</si>
  <si>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</si>
  <si>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</si>
  <si>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</si>
  <si>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</si>
  <si>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</si>
  <si>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</si>
  <si>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</si>
  <si>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</si>
  <si>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</si>
  <si>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</si>
  <si>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</si>
  <si>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</si>
  <si>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</si>
  <si>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</si>
  <si>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</si>
  <si>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</si>
  <si>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</si>
  <si>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</si>
  <si>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</si>
  <si>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</si>
  <si>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</si>
  <si>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</si>
  <si>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</si>
  <si>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</si>
  <si>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</si>
  <si>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</si>
  <si>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</si>
  <si>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</si>
  <si>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</si>
  <si>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</si>
  <si>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</si>
  <si>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</si>
  <si>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</si>
  <si>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</si>
  <si>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</si>
  <si>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</si>
  <si>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 місяців</t>
  </si>
  <si>
    <t>Відхилення від тимчасового плану 2 місяців, тис.грн.</t>
  </si>
  <si>
    <t>Аналіз використання коштів загального фонду міського бюджету станом на 08.02.2018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</si>
</sst>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25"/>
          <c:w val="0.85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38863.5</c:v>
                </c:pt>
                <c:pt idx="1">
                  <c:v>37361.9</c:v>
                </c:pt>
                <c:pt idx="2">
                  <c:v>513.1</c:v>
                </c:pt>
                <c:pt idx="3">
                  <c:v>988.4999999999985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13054</c:v>
                </c:pt>
                <c:pt idx="1">
                  <c:v>12848.209999999997</c:v>
                </c:pt>
                <c:pt idx="2">
                  <c:v>60.6</c:v>
                </c:pt>
                <c:pt idx="3">
                  <c:v>145.1900000000027</c:v>
                </c:pt>
              </c:numCache>
            </c:numRef>
          </c:val>
          <c:shape val="box"/>
        </c:ser>
        <c:shape val="box"/>
        <c:axId val="54118789"/>
        <c:axId val="17307054"/>
      </c:bar3D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07054"/>
        <c:crosses val="autoZero"/>
        <c:auto val="1"/>
        <c:lblOffset val="100"/>
        <c:tickLblSkip val="1"/>
        <c:noMultiLvlLbl val="0"/>
      </c:catAx>
      <c:valAx>
        <c:axId val="17307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7"/>
                <c:pt idx="0">
                  <c:v>168570.6</c:v>
                </c:pt>
                <c:pt idx="1">
                  <c:v>57538.8</c:v>
                </c:pt>
                <c:pt idx="2">
                  <c:v>143792.8</c:v>
                </c:pt>
                <c:pt idx="3">
                  <c:v>10964.3</c:v>
                </c:pt>
                <c:pt idx="4">
                  <c:v>9846.2</c:v>
                </c:pt>
                <c:pt idx="5">
                  <c:v>3402</c:v>
                </c:pt>
                <c:pt idx="6">
                  <c:v>565.3000000000175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7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7"/>
                <c:pt idx="0">
                  <c:v>49967.7</c:v>
                </c:pt>
                <c:pt idx="1">
                  <c:v>19157.9</c:v>
                </c:pt>
                <c:pt idx="2">
                  <c:v>47059</c:v>
                </c:pt>
                <c:pt idx="3">
                  <c:v>646.2</c:v>
                </c:pt>
                <c:pt idx="4">
                  <c:v>1116.0000000000002</c:v>
                </c:pt>
                <c:pt idx="5">
                  <c:v>1126.3</c:v>
                </c:pt>
                <c:pt idx="6">
                  <c:v>20.19999999999709</c:v>
                </c:pt>
              </c:numCache>
            </c:numRef>
          </c:val>
          <c:shape val="box"/>
        </c:ser>
        <c:shape val="box"/>
        <c:axId val="21545759"/>
        <c:axId val="59694104"/>
      </c:bar3D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5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100327</c:v>
                </c:pt>
                <c:pt idx="1">
                  <c:v>66008.8</c:v>
                </c:pt>
                <c:pt idx="2">
                  <c:v>100327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26638.600000000002</c:v>
                </c:pt>
                <c:pt idx="1">
                  <c:v>19529.800000000003</c:v>
                </c:pt>
                <c:pt idx="2">
                  <c:v>26638.600000000002</c:v>
                </c:pt>
              </c:numCache>
            </c:numRef>
          </c:val>
          <c:shape val="box"/>
        </c:ser>
        <c:shape val="box"/>
        <c:axId val="376025"/>
        <c:axId val="3384226"/>
      </c:bar3DChart>
      <c:catAx>
        <c:axId val="376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4226"/>
        <c:crosses val="autoZero"/>
        <c:auto val="1"/>
        <c:lblOffset val="100"/>
        <c:tickLblSkip val="1"/>
        <c:noMultiLvlLbl val="0"/>
      </c:catAx>
      <c:valAx>
        <c:axId val="3384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5350.83</c:v>
                </c:pt>
                <c:pt idx="1">
                  <c:v>2883.5</c:v>
                </c:pt>
                <c:pt idx="2">
                  <c:v>476.8</c:v>
                </c:pt>
                <c:pt idx="3">
                  <c:v>235.5</c:v>
                </c:pt>
                <c:pt idx="4">
                  <c:v>15.3</c:v>
                </c:pt>
                <c:pt idx="5">
                  <c:v>1739.73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1487.3999999999999</c:v>
                </c:pt>
                <c:pt idx="1">
                  <c:v>912.7</c:v>
                </c:pt>
                <c:pt idx="2">
                  <c:v>11.600000000000001</c:v>
                </c:pt>
                <c:pt idx="3">
                  <c:v>69.9</c:v>
                </c:pt>
                <c:pt idx="4">
                  <c:v>5.1</c:v>
                </c:pt>
                <c:pt idx="5">
                  <c:v>488.0999999999998</c:v>
                </c:pt>
              </c:numCache>
            </c:numRef>
          </c:val>
          <c:shape val="box"/>
        </c:ser>
        <c:shape val="box"/>
        <c:axId val="30458035"/>
        <c:axId val="5686860"/>
      </c:bar3DChart>
      <c:catAx>
        <c:axId val="3045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6860"/>
        <c:crosses val="autoZero"/>
        <c:auto val="1"/>
        <c:lblOffset val="100"/>
        <c:tickLblSkip val="1"/>
        <c:noMultiLvlLbl val="0"/>
      </c:catAx>
      <c:valAx>
        <c:axId val="5686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8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6458.5</c:v>
                </c:pt>
                <c:pt idx="1">
                  <c:v>4517.5</c:v>
                </c:pt>
                <c:pt idx="2">
                  <c:v>0</c:v>
                </c:pt>
                <c:pt idx="3">
                  <c:v>96.3</c:v>
                </c:pt>
                <c:pt idx="4">
                  <c:v>290.8</c:v>
                </c:pt>
                <c:pt idx="5">
                  <c:v>330</c:v>
                </c:pt>
                <c:pt idx="6">
                  <c:v>1223.9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1964.3999999999999</c:v>
                </c:pt>
                <c:pt idx="1">
                  <c:v>1434.5</c:v>
                </c:pt>
                <c:pt idx="3">
                  <c:v>4.4</c:v>
                </c:pt>
                <c:pt idx="4">
                  <c:v>4.3</c:v>
                </c:pt>
                <c:pt idx="5">
                  <c:v>110</c:v>
                </c:pt>
                <c:pt idx="6">
                  <c:v>411.19999999999993</c:v>
                </c:pt>
              </c:numCache>
            </c:numRef>
          </c:val>
          <c:shape val="box"/>
        </c:ser>
        <c:shape val="box"/>
        <c:axId val="51181741"/>
        <c:axId val="57982486"/>
      </c:bar3DChart>
      <c:catAx>
        <c:axId val="5118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82486"/>
        <c:crosses val="autoZero"/>
        <c:auto val="1"/>
        <c:lblOffset val="100"/>
        <c:tickLblSkip val="2"/>
        <c:noMultiLvlLbl val="0"/>
      </c:catAx>
      <c:valAx>
        <c:axId val="57982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81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25"/>
          <c:w val="0.87775"/>
          <c:h val="0.67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1077.7</c:v>
                </c:pt>
                <c:pt idx="1">
                  <c:v>724.9</c:v>
                </c:pt>
                <c:pt idx="2">
                  <c:v>0</c:v>
                </c:pt>
                <c:pt idx="3">
                  <c:v>322.2</c:v>
                </c:pt>
                <c:pt idx="4">
                  <c:v>0</c:v>
                </c:pt>
                <c:pt idx="5">
                  <c:v>30.60000000000008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254.60000000000002</c:v>
                </c:pt>
                <c:pt idx="1">
                  <c:v>233.70000000000002</c:v>
                </c:pt>
                <c:pt idx="3">
                  <c:v>10.9</c:v>
                </c:pt>
                <c:pt idx="5">
                  <c:v>10.000000000000005</c:v>
                </c:pt>
              </c:numCache>
            </c:numRef>
          </c:val>
          <c:shape val="box"/>
        </c:ser>
        <c:shape val="box"/>
        <c:axId val="52080327"/>
        <c:axId val="66069760"/>
      </c:bar3DChart>
      <c:catAx>
        <c:axId val="5208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69760"/>
        <c:crosses val="autoZero"/>
        <c:auto val="1"/>
        <c:lblOffset val="100"/>
        <c:tickLblSkip val="1"/>
        <c:noMultiLvlLbl val="0"/>
      </c:catAx>
      <c:valAx>
        <c:axId val="66069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80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15"/>
          <c:w val="0.85425"/>
          <c:h val="0.70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2790.2</c:v>
                </c:pt>
              </c:numCache>
            </c:numRef>
          </c:val>
          <c:shape val="box"/>
        </c:ser>
        <c:shape val="box"/>
        <c:axId val="57756929"/>
        <c:axId val="50050314"/>
      </c:bar3D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050314"/>
        <c:crosses val="autoZero"/>
        <c:auto val="1"/>
        <c:lblOffset val="100"/>
        <c:tickLblSkip val="1"/>
        <c:noMultiLvlLbl val="0"/>
      </c:catAx>
      <c:valAx>
        <c:axId val="50050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6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168570.6</c:v>
                </c:pt>
                <c:pt idx="1">
                  <c:v>100327</c:v>
                </c:pt>
                <c:pt idx="2">
                  <c:v>5350.83</c:v>
                </c:pt>
                <c:pt idx="3">
                  <c:v>6458.5</c:v>
                </c:pt>
                <c:pt idx="4">
                  <c:v>1077.7</c:v>
                </c:pt>
                <c:pt idx="5">
                  <c:v>38863.5</c:v>
                </c:pt>
                <c:pt idx="6">
                  <c:v>8523.8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49967.7</c:v>
                </c:pt>
                <c:pt idx="1">
                  <c:v>26638.600000000002</c:v>
                </c:pt>
                <c:pt idx="2">
                  <c:v>1487.3999999999999</c:v>
                </c:pt>
                <c:pt idx="3">
                  <c:v>1964.3999999999999</c:v>
                </c:pt>
                <c:pt idx="4">
                  <c:v>254.60000000000002</c:v>
                </c:pt>
                <c:pt idx="5">
                  <c:v>13054</c:v>
                </c:pt>
                <c:pt idx="6">
                  <c:v>2790.2</c:v>
                </c:pt>
              </c:numCache>
            </c:numRef>
          </c:val>
          <c:shape val="box"/>
        </c:ser>
        <c:shape val="box"/>
        <c:axId val="47799643"/>
        <c:axId val="27543604"/>
      </c:bar3DChart>
      <c:catAx>
        <c:axId val="4779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43604"/>
        <c:crosses val="autoZero"/>
        <c:auto val="1"/>
        <c:lblOffset val="100"/>
        <c:tickLblSkip val="1"/>
        <c:noMultiLvlLbl val="0"/>
      </c:catAx>
      <c:valAx>
        <c:axId val="27543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99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3165"/>
          <c:w val="0.84125"/>
          <c:h val="0.48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192261.8</c:v>
                </c:pt>
                <c:pt idx="1">
                  <c:v>15300.400000000001</c:v>
                </c:pt>
                <c:pt idx="2">
                  <c:v>11076.999999999998</c:v>
                </c:pt>
                <c:pt idx="3">
                  <c:v>5516</c:v>
                </c:pt>
                <c:pt idx="4">
                  <c:v>0</c:v>
                </c:pt>
                <c:pt idx="5">
                  <c:v>142991.33000000005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63429.71</c:v>
                </c:pt>
                <c:pt idx="1">
                  <c:v>2803.9000000000005</c:v>
                </c:pt>
                <c:pt idx="2">
                  <c:v>650.6</c:v>
                </c:pt>
                <c:pt idx="3">
                  <c:v>1544.2999999999997</c:v>
                </c:pt>
                <c:pt idx="4">
                  <c:v>0</c:v>
                </c:pt>
                <c:pt idx="5">
                  <c:v>39869.18999999998</c:v>
                </c:pt>
              </c:numCache>
            </c:numRef>
          </c:val>
          <c:shape val="box"/>
        </c:ser>
        <c:shape val="box"/>
        <c:axId val="46565845"/>
        <c:axId val="16439422"/>
      </c:bar3DChart>
      <c:catAx>
        <c:axId val="4656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39422"/>
        <c:crosses val="autoZero"/>
        <c:auto val="1"/>
        <c:lblOffset val="100"/>
        <c:tickLblSkip val="1"/>
        <c:noMultiLvlLbl val="0"/>
      </c:catAx>
      <c:valAx>
        <c:axId val="16439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65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27" sqref="L127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4" t="s">
        <v>112</v>
      </c>
      <c r="B1" s="164"/>
      <c r="C1" s="164"/>
      <c r="D1" s="164"/>
      <c r="E1" s="164"/>
      <c r="F1" s="164"/>
      <c r="G1" s="164"/>
      <c r="H1" s="164"/>
      <c r="I1" s="164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8" t="s">
        <v>41</v>
      </c>
      <c r="B3" s="171" t="s">
        <v>109</v>
      </c>
      <c r="C3" s="165" t="s">
        <v>106</v>
      </c>
      <c r="D3" s="165" t="s">
        <v>23</v>
      </c>
      <c r="E3" s="165" t="s">
        <v>22</v>
      </c>
      <c r="F3" s="165" t="s">
        <v>110</v>
      </c>
      <c r="G3" s="165" t="s">
        <v>107</v>
      </c>
      <c r="H3" s="165" t="s">
        <v>111</v>
      </c>
      <c r="I3" s="165" t="s">
        <v>108</v>
      </c>
    </row>
    <row r="4" spans="1:9" ht="24.75" customHeight="1">
      <c r="A4" s="169"/>
      <c r="B4" s="172"/>
      <c r="C4" s="166"/>
      <c r="D4" s="166"/>
      <c r="E4" s="166"/>
      <c r="F4" s="166"/>
      <c r="G4" s="166"/>
      <c r="H4" s="166"/>
      <c r="I4" s="166"/>
    </row>
    <row r="5" spans="1:9" ht="39" customHeight="1" thickBot="1">
      <c r="A5" s="170"/>
      <c r="B5" s="173"/>
      <c r="C5" s="167"/>
      <c r="D5" s="167"/>
      <c r="E5" s="167"/>
      <c r="F5" s="167"/>
      <c r="G5" s="167"/>
      <c r="H5" s="167"/>
      <c r="I5" s="167"/>
    </row>
    <row r="6" spans="1:11" ht="18.75" thickBot="1">
      <c r="A6" s="20" t="s">
        <v>27</v>
      </c>
      <c r="B6" s="38">
        <f>37010.6+B7-192+37202.6</f>
        <v>112380.4</v>
      </c>
      <c r="C6" s="39">
        <f>111031.8+C7</f>
        <v>168570.6</v>
      </c>
      <c r="D6" s="40">
        <f>18784.8+19.1+1564+604.6+17261.2+400.5+10875.2+151.3+0.7+306.3</f>
        <v>49967.7</v>
      </c>
      <c r="E6" s="3">
        <f>D6/D152*100</f>
        <v>46.13920701917031</v>
      </c>
      <c r="F6" s="3">
        <f>D6/B6*100</f>
        <v>44.463002445266255</v>
      </c>
      <c r="G6" s="3">
        <f aca="true" t="shared" si="0" ref="G6:G43">D6/C6*100</f>
        <v>29.6420016301775</v>
      </c>
      <c r="H6" s="40">
        <f>B6-D6</f>
        <v>62412.7</v>
      </c>
      <c r="I6" s="40">
        <f aca="true" t="shared" si="1" ref="I6:I43">C6-D6</f>
        <v>118602.90000000001</v>
      </c>
      <c r="J6" s="160"/>
      <c r="K6" s="157"/>
    </row>
    <row r="7" spans="1:12" s="94" customFormat="1" ht="18">
      <c r="A7" s="143" t="s">
        <v>82</v>
      </c>
      <c r="B7" s="144">
        <f>19179.6+19179.6</f>
        <v>38359.2</v>
      </c>
      <c r="C7" s="145">
        <v>57538.8</v>
      </c>
      <c r="D7" s="146">
        <f>8282.7+10875.2</f>
        <v>19157.9</v>
      </c>
      <c r="E7" s="147">
        <f>D7/D6*100</f>
        <v>38.340568006932486</v>
      </c>
      <c r="F7" s="147">
        <f>D7/B7*100</f>
        <v>49.94342947715282</v>
      </c>
      <c r="G7" s="147">
        <f>D7/C7*100</f>
        <v>33.2956196514352</v>
      </c>
      <c r="H7" s="146">
        <f>B7-D7</f>
        <v>19201.299999999996</v>
      </c>
      <c r="I7" s="146">
        <f t="shared" si="1"/>
        <v>38380.9</v>
      </c>
      <c r="J7" s="161"/>
      <c r="K7" s="157"/>
      <c r="L7" s="142"/>
    </row>
    <row r="8" spans="1:12" s="93" customFormat="1" ht="18">
      <c r="A8" s="104" t="s">
        <v>3</v>
      </c>
      <c r="B8" s="129">
        <f>47930.9+39328.6</f>
        <v>87259.5</v>
      </c>
      <c r="C8" s="130">
        <v>143792.8</v>
      </c>
      <c r="D8" s="106">
        <f>18784.8+17058.5+10875.2+340.5</f>
        <v>47059</v>
      </c>
      <c r="E8" s="108">
        <f>D8/D6*100</f>
        <v>94.1788395303366</v>
      </c>
      <c r="F8" s="108">
        <f>D8/B8*100</f>
        <v>53.92994459056034</v>
      </c>
      <c r="G8" s="108">
        <f t="shared" si="0"/>
        <v>32.726951558075235</v>
      </c>
      <c r="H8" s="106">
        <f>B8-D8</f>
        <v>40200.5</v>
      </c>
      <c r="I8" s="106">
        <f t="shared" si="1"/>
        <v>96733.79999999999</v>
      </c>
      <c r="J8" s="160"/>
      <c r="K8" s="157"/>
      <c r="L8" s="142"/>
    </row>
    <row r="9" spans="1:12" s="93" customFormat="1" ht="18" hidden="1">
      <c r="A9" s="104" t="s">
        <v>2</v>
      </c>
      <c r="B9" s="129">
        <v>0</v>
      </c>
      <c r="C9" s="130">
        <v>0</v>
      </c>
      <c r="D9" s="106"/>
      <c r="E9" s="131">
        <f>D9/D6*100</f>
        <v>0</v>
      </c>
      <c r="F9" s="108" t="e">
        <f>D9/B9*100</f>
        <v>#DIV/0!</v>
      </c>
      <c r="G9" s="108" t="e">
        <f t="shared" si="0"/>
        <v>#DIV/0!</v>
      </c>
      <c r="H9" s="106">
        <f aca="true" t="shared" si="2" ref="H9:H43">B9-D9</f>
        <v>0</v>
      </c>
      <c r="I9" s="106">
        <f t="shared" si="1"/>
        <v>0</v>
      </c>
      <c r="J9" s="160"/>
      <c r="K9" s="157"/>
      <c r="L9" s="142"/>
    </row>
    <row r="10" spans="1:12" s="93" customFormat="1" ht="18">
      <c r="A10" s="104" t="s">
        <v>1</v>
      </c>
      <c r="B10" s="129">
        <f>3147.6+4039.9</f>
        <v>7187.5</v>
      </c>
      <c r="C10" s="130">
        <v>10964.3</v>
      </c>
      <c r="D10" s="148">
        <f>48.9+218.8+88.4+85.8+204.3</f>
        <v>646.2</v>
      </c>
      <c r="E10" s="108">
        <f>D10/D6*100</f>
        <v>1.2932354300878368</v>
      </c>
      <c r="F10" s="108">
        <f aca="true" t="shared" si="3" ref="F10:F41">D10/B10*100</f>
        <v>8.990608695652174</v>
      </c>
      <c r="G10" s="108">
        <f t="shared" si="0"/>
        <v>5.893673102706056</v>
      </c>
      <c r="H10" s="106">
        <f t="shared" si="2"/>
        <v>6541.3</v>
      </c>
      <c r="I10" s="106">
        <f t="shared" si="1"/>
        <v>10318.099999999999</v>
      </c>
      <c r="J10" s="160"/>
      <c r="K10" s="157"/>
      <c r="L10" s="142"/>
    </row>
    <row r="11" spans="1:12" s="93" customFormat="1" ht="18">
      <c r="A11" s="104" t="s">
        <v>0</v>
      </c>
      <c r="B11" s="129">
        <f>3754.9-98+2976.6</f>
        <v>6633.5</v>
      </c>
      <c r="C11" s="130">
        <v>9846.2</v>
      </c>
      <c r="D11" s="149">
        <f>19.1+640.6+125.5+108.2+60+64.1+0.7+97.8</f>
        <v>1116.0000000000002</v>
      </c>
      <c r="E11" s="108">
        <f>D11/D6*100</f>
        <v>2.233442804051418</v>
      </c>
      <c r="F11" s="108">
        <f t="shared" si="3"/>
        <v>16.823697897037768</v>
      </c>
      <c r="G11" s="108">
        <f t="shared" si="0"/>
        <v>11.334321870366235</v>
      </c>
      <c r="H11" s="106">
        <f t="shared" si="2"/>
        <v>5517.5</v>
      </c>
      <c r="I11" s="106">
        <f t="shared" si="1"/>
        <v>8730.2</v>
      </c>
      <c r="J11" s="160"/>
      <c r="K11" s="157"/>
      <c r="L11" s="142"/>
    </row>
    <row r="12" spans="1:12" s="93" customFormat="1" ht="18">
      <c r="A12" s="104" t="s">
        <v>14</v>
      </c>
      <c r="B12" s="129">
        <f>1165+1154</f>
        <v>2319</v>
      </c>
      <c r="C12" s="130">
        <v>3402</v>
      </c>
      <c r="D12" s="106">
        <f>874.5+251.8</f>
        <v>1126.3</v>
      </c>
      <c r="E12" s="108">
        <f>D12/D6*100</f>
        <v>2.2540561202536837</v>
      </c>
      <c r="F12" s="108">
        <f t="shared" si="3"/>
        <v>48.56834842604571</v>
      </c>
      <c r="G12" s="108">
        <f t="shared" si="0"/>
        <v>33.10699588477366</v>
      </c>
      <c r="H12" s="106">
        <f>B12-D12</f>
        <v>1192.7</v>
      </c>
      <c r="I12" s="106">
        <f t="shared" si="1"/>
        <v>2275.7</v>
      </c>
      <c r="J12" s="160"/>
      <c r="K12" s="157"/>
      <c r="L12" s="142"/>
    </row>
    <row r="13" spans="1:12" s="93" customFormat="1" ht="18.75" thickBot="1">
      <c r="A13" s="104" t="s">
        <v>28</v>
      </c>
      <c r="B13" s="130">
        <f>B6-B8-B9-B10-B11-B12</f>
        <v>8980.899999999994</v>
      </c>
      <c r="C13" s="130">
        <f>C6-C8-C9-C10-C11-C12</f>
        <v>565.3000000000175</v>
      </c>
      <c r="D13" s="130">
        <f>D6-D8-D9-D10-D11-D12</f>
        <v>20.19999999999709</v>
      </c>
      <c r="E13" s="108">
        <f>D13/D6*100</f>
        <v>0.0404261152704589</v>
      </c>
      <c r="F13" s="108">
        <f t="shared" si="3"/>
        <v>0.2249217784408812</v>
      </c>
      <c r="G13" s="108">
        <f t="shared" si="0"/>
        <v>3.5733238988141633</v>
      </c>
      <c r="H13" s="106">
        <f t="shared" si="2"/>
        <v>8960.699999999997</v>
      </c>
      <c r="I13" s="106">
        <f t="shared" si="1"/>
        <v>545.1000000000204</v>
      </c>
      <c r="J13" s="160"/>
      <c r="K13" s="157"/>
      <c r="L13" s="142"/>
    </row>
    <row r="14" spans="1:13" s="32" customFormat="1" ht="18.75" customHeight="1" hidden="1">
      <c r="A14" s="74" t="s">
        <v>62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161"/>
      <c r="K14" s="11"/>
      <c r="L14" s="11"/>
      <c r="M14" s="11"/>
    </row>
    <row r="15" spans="1:13" s="32" customFormat="1" ht="18.75" customHeight="1" hidden="1">
      <c r="A15" s="74" t="s">
        <v>59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161"/>
      <c r="K15" s="11"/>
      <c r="L15" s="11"/>
      <c r="M15" s="11"/>
    </row>
    <row r="16" spans="1:13" s="32" customFormat="1" ht="18.75" hidden="1" thickBot="1">
      <c r="A16" s="74" t="s">
        <v>60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161"/>
      <c r="K16" s="11"/>
      <c r="L16" s="11"/>
      <c r="M16" s="11"/>
    </row>
    <row r="17" spans="1:13" s="32" customFormat="1" ht="18.75" hidden="1" thickBot="1">
      <c r="A17" s="74" t="s">
        <v>61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161"/>
      <c r="K17" s="11"/>
      <c r="L17" s="11"/>
      <c r="M17" s="11"/>
    </row>
    <row r="18" spans="1:11" ht="18.75" thickBot="1">
      <c r="A18" s="20" t="s">
        <v>19</v>
      </c>
      <c r="B18" s="38">
        <f>11439.4+B19-25.4+11464.7</f>
        <v>66884.7</v>
      </c>
      <c r="C18" s="39">
        <f>34318.2+C19</f>
        <v>100327</v>
      </c>
      <c r="D18" s="40">
        <f>10253+9229.9+6482.3+67.5+83+34.1+81.4+107.8+99.9+131.7+68</f>
        <v>26638.600000000002</v>
      </c>
      <c r="E18" s="3">
        <f>D18/D152*100</f>
        <v>24.597567630706845</v>
      </c>
      <c r="F18" s="3">
        <f>D18/B18*100</f>
        <v>39.827643691307586</v>
      </c>
      <c r="G18" s="3">
        <f t="shared" si="0"/>
        <v>26.551775693482316</v>
      </c>
      <c r="H18" s="40">
        <f>B18-D18</f>
        <v>40246.09999999999</v>
      </c>
      <c r="I18" s="40">
        <f t="shared" si="1"/>
        <v>73688.4</v>
      </c>
      <c r="J18" s="160"/>
      <c r="K18" s="157"/>
    </row>
    <row r="19" spans="1:13" s="94" customFormat="1" ht="18">
      <c r="A19" s="143" t="s">
        <v>83</v>
      </c>
      <c r="B19" s="144">
        <f>22003+22003</f>
        <v>44006</v>
      </c>
      <c r="C19" s="145">
        <v>66008.8</v>
      </c>
      <c r="D19" s="146">
        <f>10253+8836.7+83+81.4+107.8+99.9+68</f>
        <v>19529.800000000003</v>
      </c>
      <c r="E19" s="147">
        <f>D19/D18*100</f>
        <v>73.31391289332022</v>
      </c>
      <c r="F19" s="147">
        <f t="shared" si="3"/>
        <v>44.37985729218744</v>
      </c>
      <c r="G19" s="147">
        <f t="shared" si="0"/>
        <v>29.586661172449734</v>
      </c>
      <c r="H19" s="146">
        <f t="shared" si="2"/>
        <v>24476.199999999997</v>
      </c>
      <c r="I19" s="146">
        <f t="shared" si="1"/>
        <v>46479</v>
      </c>
      <c r="J19" s="161"/>
      <c r="K19" s="157"/>
      <c r="L19" s="93"/>
      <c r="M19" s="93"/>
    </row>
    <row r="20" spans="1:11" s="93" customFormat="1" ht="18" hidden="1">
      <c r="A20" s="104" t="s">
        <v>5</v>
      </c>
      <c r="B20" s="129"/>
      <c r="C20" s="130"/>
      <c r="D20" s="106"/>
      <c r="E20" s="108">
        <f>D20/D18*100</f>
        <v>0</v>
      </c>
      <c r="F20" s="108" t="e">
        <f t="shared" si="3"/>
        <v>#DIV/0!</v>
      </c>
      <c r="G20" s="108" t="e">
        <f t="shared" si="0"/>
        <v>#DIV/0!</v>
      </c>
      <c r="H20" s="106">
        <f t="shared" si="2"/>
        <v>0</v>
      </c>
      <c r="I20" s="106">
        <f t="shared" si="1"/>
        <v>0</v>
      </c>
      <c r="J20" s="160"/>
      <c r="K20" s="157">
        <f>C20-B20</f>
        <v>0</v>
      </c>
    </row>
    <row r="21" spans="1:11" s="93" customFormat="1" ht="18" hidden="1">
      <c r="A21" s="104" t="s">
        <v>2</v>
      </c>
      <c r="B21" s="129"/>
      <c r="C21" s="130"/>
      <c r="D21" s="106"/>
      <c r="E21" s="108">
        <f>D21/D18*100</f>
        <v>0</v>
      </c>
      <c r="F21" s="108" t="e">
        <f t="shared" si="3"/>
        <v>#DIV/0!</v>
      </c>
      <c r="G21" s="108" t="e">
        <f t="shared" si="0"/>
        <v>#DIV/0!</v>
      </c>
      <c r="H21" s="106">
        <f t="shared" si="2"/>
        <v>0</v>
      </c>
      <c r="I21" s="106">
        <f t="shared" si="1"/>
        <v>0</v>
      </c>
      <c r="J21" s="160"/>
      <c r="K21" s="157">
        <f>C21-B21</f>
        <v>0</v>
      </c>
    </row>
    <row r="22" spans="1:11" s="93" customFormat="1" ht="18" hidden="1">
      <c r="A22" s="104" t="s">
        <v>1</v>
      </c>
      <c r="B22" s="129"/>
      <c r="C22" s="130"/>
      <c r="D22" s="106"/>
      <c r="E22" s="108">
        <f>D22/D18*100</f>
        <v>0</v>
      </c>
      <c r="F22" s="108" t="e">
        <f t="shared" si="3"/>
        <v>#DIV/0!</v>
      </c>
      <c r="G22" s="108" t="e">
        <f t="shared" si="0"/>
        <v>#DIV/0!</v>
      </c>
      <c r="H22" s="106">
        <f t="shared" si="2"/>
        <v>0</v>
      </c>
      <c r="I22" s="106">
        <f t="shared" si="1"/>
        <v>0</v>
      </c>
      <c r="J22" s="160"/>
      <c r="K22" s="157">
        <f>C22-B22</f>
        <v>0</v>
      </c>
    </row>
    <row r="23" spans="1:11" s="93" customFormat="1" ht="18" hidden="1">
      <c r="A23" s="104" t="s">
        <v>0</v>
      </c>
      <c r="B23" s="129"/>
      <c r="C23" s="130"/>
      <c r="D23" s="106"/>
      <c r="E23" s="108">
        <f>D23/D18*100</f>
        <v>0</v>
      </c>
      <c r="F23" s="108" t="e">
        <f t="shared" si="3"/>
        <v>#DIV/0!</v>
      </c>
      <c r="G23" s="108" t="e">
        <f t="shared" si="0"/>
        <v>#DIV/0!</v>
      </c>
      <c r="H23" s="106">
        <f t="shared" si="2"/>
        <v>0</v>
      </c>
      <c r="I23" s="106">
        <f t="shared" si="1"/>
        <v>0</v>
      </c>
      <c r="J23" s="160"/>
      <c r="K23" s="157">
        <f>C23-B23</f>
        <v>0</v>
      </c>
    </row>
    <row r="24" spans="1:11" s="93" customFormat="1" ht="18" hidden="1">
      <c r="A24" s="104" t="s">
        <v>14</v>
      </c>
      <c r="B24" s="129"/>
      <c r="C24" s="130"/>
      <c r="D24" s="106"/>
      <c r="E24" s="108">
        <f>D24/D18*100</f>
        <v>0</v>
      </c>
      <c r="F24" s="108" t="e">
        <f t="shared" si="3"/>
        <v>#DIV/0!</v>
      </c>
      <c r="G24" s="108" t="e">
        <f t="shared" si="0"/>
        <v>#DIV/0!</v>
      </c>
      <c r="H24" s="106">
        <f t="shared" si="2"/>
        <v>0</v>
      </c>
      <c r="I24" s="106">
        <f t="shared" si="1"/>
        <v>0</v>
      </c>
      <c r="J24" s="160"/>
      <c r="K24" s="157">
        <f>C24-B24</f>
        <v>0</v>
      </c>
    </row>
    <row r="25" spans="1:11" s="93" customFormat="1" ht="18.75" thickBot="1">
      <c r="A25" s="104" t="s">
        <v>28</v>
      </c>
      <c r="B25" s="130">
        <f>B18</f>
        <v>66884.7</v>
      </c>
      <c r="C25" s="130">
        <f>C18</f>
        <v>100327</v>
      </c>
      <c r="D25" s="130">
        <f>D18</f>
        <v>26638.600000000002</v>
      </c>
      <c r="E25" s="108">
        <f>D25/D18*100</f>
        <v>100</v>
      </c>
      <c r="F25" s="108">
        <f t="shared" si="3"/>
        <v>39.827643691307586</v>
      </c>
      <c r="G25" s="108">
        <f t="shared" si="0"/>
        <v>26.551775693482316</v>
      </c>
      <c r="H25" s="106">
        <f t="shared" si="2"/>
        <v>40246.09999999999</v>
      </c>
      <c r="I25" s="106">
        <f t="shared" si="1"/>
        <v>73688.4</v>
      </c>
      <c r="J25" s="160"/>
      <c r="K25" s="157"/>
    </row>
    <row r="26" spans="1:11" ht="55.5" hidden="1" thickBot="1">
      <c r="A26" s="74" t="s">
        <v>70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160"/>
      <c r="K26" s="157">
        <f aca="true" t="shared" si="4" ref="K26:K32">C26-B26</f>
        <v>0</v>
      </c>
    </row>
    <row r="27" spans="1:11" ht="36.75" customHeight="1" hidden="1">
      <c r="A27" s="74" t="s">
        <v>71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160"/>
      <c r="K27" s="157">
        <f t="shared" si="4"/>
        <v>0</v>
      </c>
    </row>
    <row r="28" spans="1:11" ht="18.75" hidden="1" thickBot="1">
      <c r="A28" s="74" t="s">
        <v>72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160"/>
      <c r="K28" s="157">
        <f t="shared" si="4"/>
        <v>0</v>
      </c>
    </row>
    <row r="29" spans="1:11" ht="39.75" customHeight="1" hidden="1">
      <c r="A29" s="74" t="s">
        <v>73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160"/>
      <c r="K29" s="157">
        <f t="shared" si="4"/>
        <v>0</v>
      </c>
    </row>
    <row r="30" spans="1:11" ht="37.5" customHeight="1" hidden="1">
      <c r="A30" s="74" t="s">
        <v>74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160"/>
      <c r="K30" s="157">
        <f t="shared" si="4"/>
        <v>0</v>
      </c>
    </row>
    <row r="31" spans="1:11" ht="36" customHeight="1" hidden="1">
      <c r="A31" s="74" t="s">
        <v>75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160"/>
      <c r="K31" s="157">
        <f t="shared" si="4"/>
        <v>0</v>
      </c>
    </row>
    <row r="32" spans="1:11" ht="18.75" hidden="1" thickBot="1">
      <c r="A32" s="74" t="s">
        <v>76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160"/>
      <c r="K32" s="157">
        <f t="shared" si="4"/>
        <v>0</v>
      </c>
    </row>
    <row r="33" spans="1:11" ht="18.75" thickBot="1">
      <c r="A33" s="20" t="s">
        <v>17</v>
      </c>
      <c r="B33" s="38">
        <f>1783.6+4.1+1779.5</f>
        <v>3567.2</v>
      </c>
      <c r="C33" s="39">
        <v>5350.83</v>
      </c>
      <c r="D33" s="42">
        <f>364.6+44.8+35.8+191.3+646.1+25.1+164.7+15</f>
        <v>1487.3999999999999</v>
      </c>
      <c r="E33" s="3">
        <f>D33/D152*100</f>
        <v>1.3734363703014931</v>
      </c>
      <c r="F33" s="3">
        <f>D33/B33*100</f>
        <v>41.696568737385064</v>
      </c>
      <c r="G33" s="3">
        <f t="shared" si="0"/>
        <v>27.79755664074545</v>
      </c>
      <c r="H33" s="40">
        <f t="shared" si="2"/>
        <v>2079.8</v>
      </c>
      <c r="I33" s="40">
        <f t="shared" si="1"/>
        <v>3863.4300000000003</v>
      </c>
      <c r="J33" s="160"/>
      <c r="K33" s="157"/>
    </row>
    <row r="34" spans="1:11" s="93" customFormat="1" ht="18">
      <c r="A34" s="104" t="s">
        <v>3</v>
      </c>
      <c r="B34" s="129">
        <f>944.5+957.2</f>
        <v>1901.7</v>
      </c>
      <c r="C34" s="130">
        <v>2883.5</v>
      </c>
      <c r="D34" s="106">
        <f>364.6+548.1</f>
        <v>912.7</v>
      </c>
      <c r="E34" s="108">
        <f>D34/D33*100</f>
        <v>61.36210837703376</v>
      </c>
      <c r="F34" s="108">
        <f t="shared" si="3"/>
        <v>47.99390019456276</v>
      </c>
      <c r="G34" s="108">
        <f t="shared" si="0"/>
        <v>31.6525056355124</v>
      </c>
      <c r="H34" s="106">
        <f t="shared" si="2"/>
        <v>989</v>
      </c>
      <c r="I34" s="106">
        <f t="shared" si="1"/>
        <v>1970.8</v>
      </c>
      <c r="J34" s="160"/>
      <c r="K34" s="157"/>
    </row>
    <row r="35" spans="1:11" s="93" customFormat="1" ht="18" hidden="1">
      <c r="A35" s="104" t="s">
        <v>1</v>
      </c>
      <c r="B35" s="129"/>
      <c r="C35" s="130"/>
      <c r="D35" s="106"/>
      <c r="E35" s="108">
        <f>D35/D33*100</f>
        <v>0</v>
      </c>
      <c r="F35" s="108" t="e">
        <f t="shared" si="3"/>
        <v>#DIV/0!</v>
      </c>
      <c r="G35" s="108" t="e">
        <f t="shared" si="0"/>
        <v>#DIV/0!</v>
      </c>
      <c r="H35" s="106">
        <f t="shared" si="2"/>
        <v>0</v>
      </c>
      <c r="I35" s="106">
        <f t="shared" si="1"/>
        <v>0</v>
      </c>
      <c r="J35" s="160"/>
      <c r="K35" s="157"/>
    </row>
    <row r="36" spans="1:11" s="93" customFormat="1" ht="18">
      <c r="A36" s="104" t="s">
        <v>0</v>
      </c>
      <c r="B36" s="129">
        <f>177.1+157.7</f>
        <v>334.79999999999995</v>
      </c>
      <c r="C36" s="130">
        <v>476.8</v>
      </c>
      <c r="D36" s="106">
        <f>0.3+11.3</f>
        <v>11.600000000000001</v>
      </c>
      <c r="E36" s="108">
        <f>D36/D33*100</f>
        <v>0.7798843619739143</v>
      </c>
      <c r="F36" s="108">
        <f t="shared" si="3"/>
        <v>3.464755077658305</v>
      </c>
      <c r="G36" s="108">
        <f t="shared" si="0"/>
        <v>2.4328859060402688</v>
      </c>
      <c r="H36" s="106">
        <f t="shared" si="2"/>
        <v>323.19999999999993</v>
      </c>
      <c r="I36" s="106">
        <f t="shared" si="1"/>
        <v>465.2</v>
      </c>
      <c r="J36" s="160"/>
      <c r="K36" s="157"/>
    </row>
    <row r="37" spans="1:12" s="94" customFormat="1" ht="18">
      <c r="A37" s="120" t="s">
        <v>7</v>
      </c>
      <c r="B37" s="140">
        <f>78.5+5.5+73</f>
        <v>157</v>
      </c>
      <c r="C37" s="141">
        <v>235.5</v>
      </c>
      <c r="D37" s="111">
        <f>44.8+25.1</f>
        <v>69.9</v>
      </c>
      <c r="E37" s="115">
        <f>D37/D33*100</f>
        <v>4.699475594997984</v>
      </c>
      <c r="F37" s="115">
        <f t="shared" si="3"/>
        <v>44.52229299363057</v>
      </c>
      <c r="G37" s="115">
        <f t="shared" si="0"/>
        <v>29.681528662420387</v>
      </c>
      <c r="H37" s="111">
        <f t="shared" si="2"/>
        <v>87.1</v>
      </c>
      <c r="I37" s="111">
        <f t="shared" si="1"/>
        <v>165.6</v>
      </c>
      <c r="J37" s="161"/>
      <c r="K37" s="157"/>
      <c r="L37" s="142"/>
    </row>
    <row r="38" spans="1:11" s="93" customFormat="1" ht="18">
      <c r="A38" s="104" t="s">
        <v>14</v>
      </c>
      <c r="B38" s="129">
        <f>5.1+5.1</f>
        <v>10.2</v>
      </c>
      <c r="C38" s="130">
        <v>15.3</v>
      </c>
      <c r="D38" s="130">
        <v>5.1</v>
      </c>
      <c r="E38" s="108">
        <f>D38/D33*100</f>
        <v>0.3428801936264623</v>
      </c>
      <c r="F38" s="108">
        <f t="shared" si="3"/>
        <v>50</v>
      </c>
      <c r="G38" s="108">
        <f t="shared" si="0"/>
        <v>33.33333333333333</v>
      </c>
      <c r="H38" s="106">
        <f t="shared" si="2"/>
        <v>5.1</v>
      </c>
      <c r="I38" s="106">
        <f t="shared" si="1"/>
        <v>10.200000000000001</v>
      </c>
      <c r="J38" s="160"/>
      <c r="K38" s="157"/>
    </row>
    <row r="39" spans="1:11" s="93" customFormat="1" ht="18.75" thickBot="1">
      <c r="A39" s="104" t="s">
        <v>28</v>
      </c>
      <c r="B39" s="129">
        <f>B33-B34-B36-B37-B35-B38</f>
        <v>1163.4999999999998</v>
      </c>
      <c r="C39" s="129">
        <f>C33-C34-C36-C37-C35-C38</f>
        <v>1739.73</v>
      </c>
      <c r="D39" s="129">
        <f>D33-D34-D36-D37-D35-D38</f>
        <v>488.0999999999998</v>
      </c>
      <c r="E39" s="108">
        <f>D39/D33*100</f>
        <v>32.81565147236788</v>
      </c>
      <c r="F39" s="108">
        <f t="shared" si="3"/>
        <v>41.95100988397077</v>
      </c>
      <c r="G39" s="108">
        <f t="shared" si="0"/>
        <v>28.056077667224212</v>
      </c>
      <c r="H39" s="106">
        <f>B39-D39</f>
        <v>675.4</v>
      </c>
      <c r="I39" s="106">
        <f t="shared" si="1"/>
        <v>1251.63</v>
      </c>
      <c r="J39" s="160"/>
      <c r="K39" s="157"/>
    </row>
    <row r="40" spans="1:11" ht="18.75" hidden="1" thickBot="1">
      <c r="A40" s="74" t="s">
        <v>67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160"/>
      <c r="K40" s="157">
        <f>C40-B40</f>
        <v>0</v>
      </c>
    </row>
    <row r="41" spans="1:11" ht="18.75" hidden="1" thickBot="1">
      <c r="A41" s="74" t="s">
        <v>68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160"/>
      <c r="K41" s="157">
        <f>C41-B41</f>
        <v>0</v>
      </c>
    </row>
    <row r="42" spans="1:11" ht="18.75" hidden="1" thickBot="1">
      <c r="A42" s="74" t="s">
        <v>69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160"/>
      <c r="K42" s="157">
        <f>C42-B42</f>
        <v>0</v>
      </c>
    </row>
    <row r="43" spans="1:11" ht="18.75" thickBot="1">
      <c r="A43" s="12" t="s">
        <v>16</v>
      </c>
      <c r="B43" s="76">
        <f>83.2+90.6-5.5+179.3</f>
        <v>347.6</v>
      </c>
      <c r="C43" s="39">
        <f>249.6+271.7</f>
        <v>521.3</v>
      </c>
      <c r="D43" s="40">
        <v>63.9</v>
      </c>
      <c r="E43" s="3">
        <f>D43/D152*100</f>
        <v>0.05900402316946714</v>
      </c>
      <c r="F43" s="3">
        <f>D43/B43*100</f>
        <v>18.38319907940161</v>
      </c>
      <c r="G43" s="3">
        <f t="shared" si="0"/>
        <v>12.25781699597161</v>
      </c>
      <c r="H43" s="40">
        <f t="shared" si="2"/>
        <v>283.70000000000005</v>
      </c>
      <c r="I43" s="40">
        <f t="shared" si="1"/>
        <v>457.4</v>
      </c>
      <c r="J43" s="160"/>
      <c r="K43" s="157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160"/>
      <c r="K44" s="157"/>
    </row>
    <row r="45" spans="1:11" ht="18.75" thickBot="1">
      <c r="A45" s="20" t="s">
        <v>45</v>
      </c>
      <c r="B45" s="38">
        <f>982.3+982.3</f>
        <v>1964.6</v>
      </c>
      <c r="C45" s="39">
        <v>2947</v>
      </c>
      <c r="D45" s="40">
        <f>237.1+562.8+52.3</f>
        <v>852.1999999999999</v>
      </c>
      <c r="E45" s="3">
        <f>D45/D152*100</f>
        <v>0.7869049850550843</v>
      </c>
      <c r="F45" s="3">
        <f>D45/B45*100</f>
        <v>43.37778682683498</v>
      </c>
      <c r="G45" s="3">
        <f aca="true" t="shared" si="5" ref="G45:G76">D45/C45*100</f>
        <v>28.917543264336608</v>
      </c>
      <c r="H45" s="40">
        <f>B45-D45</f>
        <v>1112.4</v>
      </c>
      <c r="I45" s="40">
        <f aca="true" t="shared" si="6" ref="I45:I77">C45-D45</f>
        <v>2094.8</v>
      </c>
      <c r="J45" s="160"/>
      <c r="K45" s="157"/>
    </row>
    <row r="46" spans="1:11" s="93" customFormat="1" ht="18">
      <c r="A46" s="104" t="s">
        <v>3</v>
      </c>
      <c r="B46" s="129">
        <f>834.5+834.5</f>
        <v>1669</v>
      </c>
      <c r="C46" s="130">
        <v>2503.6</v>
      </c>
      <c r="D46" s="106">
        <f>237.1+551.8</f>
        <v>788.9</v>
      </c>
      <c r="E46" s="108">
        <f>D46/D45*100</f>
        <v>92.57216615817883</v>
      </c>
      <c r="F46" s="108">
        <f aca="true" t="shared" si="7" ref="F46:F74">D46/B46*100</f>
        <v>47.267825044937084</v>
      </c>
      <c r="G46" s="108">
        <f t="shared" si="5"/>
        <v>31.51062470043138</v>
      </c>
      <c r="H46" s="106">
        <f aca="true" t="shared" si="8" ref="H46:H74">B46-D46</f>
        <v>880.1</v>
      </c>
      <c r="I46" s="106">
        <f t="shared" si="6"/>
        <v>1714.6999999999998</v>
      </c>
      <c r="J46" s="160"/>
      <c r="K46" s="157"/>
    </row>
    <row r="47" spans="1:11" s="93" customFormat="1" ht="18" hidden="1">
      <c r="A47" s="104" t="s">
        <v>2</v>
      </c>
      <c r="B47" s="129">
        <v>0</v>
      </c>
      <c r="C47" s="130">
        <v>0</v>
      </c>
      <c r="D47" s="106"/>
      <c r="E47" s="108">
        <f>D47/D45*100</f>
        <v>0</v>
      </c>
      <c r="F47" s="108" t="e">
        <f t="shared" si="7"/>
        <v>#DIV/0!</v>
      </c>
      <c r="G47" s="108" t="e">
        <f t="shared" si="5"/>
        <v>#DIV/0!</v>
      </c>
      <c r="H47" s="106">
        <f t="shared" si="8"/>
        <v>0</v>
      </c>
      <c r="I47" s="106">
        <f t="shared" si="6"/>
        <v>0</v>
      </c>
      <c r="J47" s="160"/>
      <c r="K47" s="157"/>
    </row>
    <row r="48" spans="1:11" s="93" customFormat="1" ht="18">
      <c r="A48" s="104" t="s">
        <v>1</v>
      </c>
      <c r="B48" s="129">
        <v>8.4</v>
      </c>
      <c r="C48" s="130">
        <v>16.4</v>
      </c>
      <c r="D48" s="106"/>
      <c r="E48" s="108">
        <f>D48/D45*100</f>
        <v>0</v>
      </c>
      <c r="F48" s="108">
        <f t="shared" si="7"/>
        <v>0</v>
      </c>
      <c r="G48" s="108">
        <f t="shared" si="5"/>
        <v>0</v>
      </c>
      <c r="H48" s="106">
        <f t="shared" si="8"/>
        <v>8.4</v>
      </c>
      <c r="I48" s="106">
        <f t="shared" si="6"/>
        <v>16.4</v>
      </c>
      <c r="J48" s="160"/>
      <c r="K48" s="157"/>
    </row>
    <row r="49" spans="1:11" s="93" customFormat="1" ht="18">
      <c r="A49" s="104" t="s">
        <v>0</v>
      </c>
      <c r="B49" s="129">
        <f>137.5+130.1</f>
        <v>267.6</v>
      </c>
      <c r="C49" s="130">
        <v>398.2</v>
      </c>
      <c r="D49" s="106">
        <f>7.3+51.9</f>
        <v>59.199999999999996</v>
      </c>
      <c r="E49" s="108">
        <f>D49/D45*100</f>
        <v>6.94672612062896</v>
      </c>
      <c r="F49" s="108">
        <f t="shared" si="7"/>
        <v>22.122571001494766</v>
      </c>
      <c r="G49" s="108">
        <f t="shared" si="5"/>
        <v>14.866901054746359</v>
      </c>
      <c r="H49" s="106">
        <f t="shared" si="8"/>
        <v>208.40000000000003</v>
      </c>
      <c r="I49" s="106">
        <f t="shared" si="6"/>
        <v>339</v>
      </c>
      <c r="J49" s="160"/>
      <c r="K49" s="157"/>
    </row>
    <row r="50" spans="1:11" s="93" customFormat="1" ht="18.75" thickBot="1">
      <c r="A50" s="104" t="s">
        <v>28</v>
      </c>
      <c r="B50" s="130">
        <f>B45-B46-B49-B48-B47</f>
        <v>19.599999999999888</v>
      </c>
      <c r="C50" s="130">
        <f>C45-C46-C49-C48-C47</f>
        <v>28.800000000000104</v>
      </c>
      <c r="D50" s="130">
        <f>D45-D46-D49-D48-D47</f>
        <v>4.099999999999959</v>
      </c>
      <c r="E50" s="108">
        <f>D50/D45*100</f>
        <v>0.4811077211922036</v>
      </c>
      <c r="F50" s="108">
        <f t="shared" si="7"/>
        <v>20.918367346938684</v>
      </c>
      <c r="G50" s="108">
        <f t="shared" si="5"/>
        <v>14.236111111110915</v>
      </c>
      <c r="H50" s="106">
        <f t="shared" si="8"/>
        <v>15.499999999999929</v>
      </c>
      <c r="I50" s="106">
        <f t="shared" si="6"/>
        <v>24.700000000000145</v>
      </c>
      <c r="J50" s="160"/>
      <c r="K50" s="157"/>
    </row>
    <row r="51" spans="1:11" ht="18.75" thickBot="1">
      <c r="A51" s="20" t="s">
        <v>4</v>
      </c>
      <c r="B51" s="38">
        <f>2152.8-3+2155.8</f>
        <v>4305.6</v>
      </c>
      <c r="C51" s="39">
        <v>6458.5</v>
      </c>
      <c r="D51" s="40">
        <f>632.9+35.2+911.5+180.2+1+93.6+110</f>
        <v>1964.3999999999999</v>
      </c>
      <c r="E51" s="3">
        <f>D51/D152*100</f>
        <v>1.8138889376228675</v>
      </c>
      <c r="F51" s="3">
        <f>D51/B51*100</f>
        <v>45.624303232998884</v>
      </c>
      <c r="G51" s="3">
        <f t="shared" si="5"/>
        <v>30.41573120693659</v>
      </c>
      <c r="H51" s="40">
        <f>B51-D51</f>
        <v>2341.2000000000007</v>
      </c>
      <c r="I51" s="40">
        <f t="shared" si="6"/>
        <v>4494.1</v>
      </c>
      <c r="J51" s="160"/>
      <c r="K51" s="157"/>
    </row>
    <row r="52" spans="1:11" s="93" customFormat="1" ht="18">
      <c r="A52" s="104" t="s">
        <v>3</v>
      </c>
      <c r="B52" s="129">
        <f>1512.6+1502.4</f>
        <v>3015</v>
      </c>
      <c r="C52" s="130">
        <v>4517.5</v>
      </c>
      <c r="D52" s="106">
        <f>632.9+34.3+767.3</f>
        <v>1434.5</v>
      </c>
      <c r="E52" s="108">
        <f>D52/D51*100</f>
        <v>73.0248421909998</v>
      </c>
      <c r="F52" s="108">
        <f t="shared" si="7"/>
        <v>47.578772802653404</v>
      </c>
      <c r="G52" s="108">
        <f t="shared" si="5"/>
        <v>31.754288876591037</v>
      </c>
      <c r="H52" s="106">
        <f t="shared" si="8"/>
        <v>1580.5</v>
      </c>
      <c r="I52" s="106">
        <f t="shared" si="6"/>
        <v>3083</v>
      </c>
      <c r="J52" s="160"/>
      <c r="K52" s="157"/>
    </row>
    <row r="53" spans="1:11" s="93" customFormat="1" ht="18">
      <c r="A53" s="104" t="s">
        <v>2</v>
      </c>
      <c r="B53" s="129">
        <v>0</v>
      </c>
      <c r="C53" s="130">
        <v>0</v>
      </c>
      <c r="D53" s="106"/>
      <c r="E53" s="108">
        <f>D53/D51*100</f>
        <v>0</v>
      </c>
      <c r="F53" s="108" t="e">
        <f>D53/B53*100</f>
        <v>#DIV/0!</v>
      </c>
      <c r="G53" s="108" t="e">
        <f t="shared" si="5"/>
        <v>#DIV/0!</v>
      </c>
      <c r="H53" s="106">
        <f t="shared" si="8"/>
        <v>0</v>
      </c>
      <c r="I53" s="106">
        <f t="shared" si="6"/>
        <v>0</v>
      </c>
      <c r="J53" s="160"/>
      <c r="K53" s="157"/>
    </row>
    <row r="54" spans="1:11" s="93" customFormat="1" ht="18">
      <c r="A54" s="104" t="s">
        <v>1</v>
      </c>
      <c r="B54" s="129">
        <f>31.6+27.1</f>
        <v>58.7</v>
      </c>
      <c r="C54" s="130">
        <v>96.3</v>
      </c>
      <c r="D54" s="106">
        <f>0.2+4.2</f>
        <v>4.4</v>
      </c>
      <c r="E54" s="108">
        <f>D54/D51*100</f>
        <v>0.22398696803095094</v>
      </c>
      <c r="F54" s="108">
        <f t="shared" si="7"/>
        <v>7.495741056218058</v>
      </c>
      <c r="G54" s="108">
        <f t="shared" si="5"/>
        <v>4.569055036344757</v>
      </c>
      <c r="H54" s="106">
        <f t="shared" si="8"/>
        <v>54.300000000000004</v>
      </c>
      <c r="I54" s="106">
        <f t="shared" si="6"/>
        <v>91.89999999999999</v>
      </c>
      <c r="J54" s="160"/>
      <c r="K54" s="157"/>
    </row>
    <row r="55" spans="1:11" s="93" customFormat="1" ht="18">
      <c r="A55" s="104" t="s">
        <v>0</v>
      </c>
      <c r="B55" s="129">
        <f>87.1+110.1</f>
        <v>197.2</v>
      </c>
      <c r="C55" s="130">
        <v>290.8</v>
      </c>
      <c r="D55" s="106">
        <f>0.5+1+2.8</f>
        <v>4.3</v>
      </c>
      <c r="E55" s="108">
        <f>D55/D51*100</f>
        <v>0.2188963551211566</v>
      </c>
      <c r="F55" s="108">
        <f t="shared" si="7"/>
        <v>2.18052738336714</v>
      </c>
      <c r="G55" s="108">
        <f t="shared" si="5"/>
        <v>1.4786795048143053</v>
      </c>
      <c r="H55" s="106">
        <f t="shared" si="8"/>
        <v>192.89999999999998</v>
      </c>
      <c r="I55" s="106">
        <f t="shared" si="6"/>
        <v>286.5</v>
      </c>
      <c r="J55" s="160"/>
      <c r="K55" s="157"/>
    </row>
    <row r="56" spans="1:11" s="93" customFormat="1" ht="18">
      <c r="A56" s="104" t="s">
        <v>14</v>
      </c>
      <c r="B56" s="129">
        <f>110+110</f>
        <v>220</v>
      </c>
      <c r="C56" s="130">
        <v>330</v>
      </c>
      <c r="D56" s="130">
        <f>110</f>
        <v>110</v>
      </c>
      <c r="E56" s="108">
        <f>D56/D51*100</f>
        <v>5.599674200773774</v>
      </c>
      <c r="F56" s="108">
        <f>D56/B56*100</f>
        <v>50</v>
      </c>
      <c r="G56" s="108">
        <f>D56/C56*100</f>
        <v>33.33333333333333</v>
      </c>
      <c r="H56" s="106">
        <f t="shared" si="8"/>
        <v>110</v>
      </c>
      <c r="I56" s="106">
        <f t="shared" si="6"/>
        <v>220</v>
      </c>
      <c r="J56" s="160"/>
      <c r="K56" s="157"/>
    </row>
    <row r="57" spans="1:11" s="93" customFormat="1" ht="18.75" thickBot="1">
      <c r="A57" s="104" t="s">
        <v>28</v>
      </c>
      <c r="B57" s="130">
        <f>B51-B52-B55-B54-B53-B56</f>
        <v>814.7000000000003</v>
      </c>
      <c r="C57" s="130">
        <f>C51-C52-C55-C54-C53-C56</f>
        <v>1223.9</v>
      </c>
      <c r="D57" s="130">
        <f>D51-D52-D55-D54-D53-D56</f>
        <v>411.19999999999993</v>
      </c>
      <c r="E57" s="108">
        <f>D57/D51*100</f>
        <v>20.932600285074322</v>
      </c>
      <c r="F57" s="108">
        <f t="shared" si="7"/>
        <v>50.472566588928416</v>
      </c>
      <c r="G57" s="108">
        <f t="shared" si="5"/>
        <v>33.597516136939284</v>
      </c>
      <c r="H57" s="106">
        <f>B57-D57</f>
        <v>403.50000000000034</v>
      </c>
      <c r="I57" s="106">
        <f>C57-D57</f>
        <v>812.7000000000002</v>
      </c>
      <c r="J57" s="160"/>
      <c r="K57" s="157"/>
    </row>
    <row r="58" spans="1:11" s="32" customFormat="1" ht="18.75" hidden="1" thickBot="1">
      <c r="A58" s="74" t="s">
        <v>66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161"/>
      <c r="K58" s="157">
        <f>C58-B58</f>
        <v>0</v>
      </c>
    </row>
    <row r="59" spans="1:11" ht="18.75" thickBot="1">
      <c r="A59" s="20" t="s">
        <v>6</v>
      </c>
      <c r="B59" s="38">
        <f>366.5-0.7+354.5</f>
        <v>720.3</v>
      </c>
      <c r="C59" s="39">
        <v>1077.7</v>
      </c>
      <c r="D59" s="40">
        <f>87.7+79.1+87.8</f>
        <v>254.60000000000002</v>
      </c>
      <c r="E59" s="3">
        <f>D59/D152*100</f>
        <v>0.23509271203358897</v>
      </c>
      <c r="F59" s="3">
        <f>D59/B59*100</f>
        <v>35.346383451339726</v>
      </c>
      <c r="G59" s="3">
        <f t="shared" si="5"/>
        <v>23.624385264916025</v>
      </c>
      <c r="H59" s="40">
        <f>B59-D59</f>
        <v>465.69999999999993</v>
      </c>
      <c r="I59" s="40">
        <f t="shared" si="6"/>
        <v>823.1</v>
      </c>
      <c r="J59" s="160"/>
      <c r="K59" s="157"/>
    </row>
    <row r="60" spans="1:11" s="93" customFormat="1" ht="18">
      <c r="A60" s="104" t="s">
        <v>3</v>
      </c>
      <c r="B60" s="129">
        <f>247.2+238.9</f>
        <v>486.1</v>
      </c>
      <c r="C60" s="130">
        <v>724.9</v>
      </c>
      <c r="D60" s="106">
        <f>77.7+79.1+76.9</f>
        <v>233.70000000000002</v>
      </c>
      <c r="E60" s="108">
        <f>D60/D59*100</f>
        <v>91.7910447761194</v>
      </c>
      <c r="F60" s="108">
        <f t="shared" si="7"/>
        <v>48.07652746348488</v>
      </c>
      <c r="G60" s="108">
        <f t="shared" si="5"/>
        <v>32.238929507518286</v>
      </c>
      <c r="H60" s="106">
        <f t="shared" si="8"/>
        <v>252.4</v>
      </c>
      <c r="I60" s="106">
        <f t="shared" si="6"/>
        <v>491.19999999999993</v>
      </c>
      <c r="J60" s="160"/>
      <c r="K60" s="157"/>
    </row>
    <row r="61" spans="1:11" s="93" customFormat="1" ht="18">
      <c r="A61" s="104" t="s">
        <v>1</v>
      </c>
      <c r="B61" s="129">
        <v>0</v>
      </c>
      <c r="C61" s="130">
        <v>0</v>
      </c>
      <c r="D61" s="106"/>
      <c r="E61" s="108">
        <f>D61/D59*100</f>
        <v>0</v>
      </c>
      <c r="F61" s="108" t="e">
        <f>D61/B61*100</f>
        <v>#DIV/0!</v>
      </c>
      <c r="G61" s="108" t="e">
        <f t="shared" si="5"/>
        <v>#DIV/0!</v>
      </c>
      <c r="H61" s="106">
        <f t="shared" si="8"/>
        <v>0</v>
      </c>
      <c r="I61" s="106">
        <f t="shared" si="6"/>
        <v>0</v>
      </c>
      <c r="J61" s="160"/>
      <c r="K61" s="157"/>
    </row>
    <row r="62" spans="1:11" s="93" customFormat="1" ht="18">
      <c r="A62" s="104" t="s">
        <v>0</v>
      </c>
      <c r="B62" s="129">
        <f>103.2+110.5</f>
        <v>213.7</v>
      </c>
      <c r="C62" s="130">
        <v>322.2</v>
      </c>
      <c r="D62" s="106">
        <v>10.9</v>
      </c>
      <c r="E62" s="108">
        <f>D62/D59*100</f>
        <v>4.281225451688924</v>
      </c>
      <c r="F62" s="108">
        <f t="shared" si="7"/>
        <v>5.100608329433786</v>
      </c>
      <c r="G62" s="108">
        <f t="shared" si="5"/>
        <v>3.382991930477964</v>
      </c>
      <c r="H62" s="106">
        <f t="shared" si="8"/>
        <v>202.79999999999998</v>
      </c>
      <c r="I62" s="106">
        <f t="shared" si="6"/>
        <v>311.3</v>
      </c>
      <c r="J62" s="160"/>
      <c r="K62" s="157"/>
    </row>
    <row r="63" spans="1:11" s="93" customFormat="1" ht="18">
      <c r="A63" s="104" t="s">
        <v>14</v>
      </c>
      <c r="B63" s="129">
        <v>0</v>
      </c>
      <c r="C63" s="130">
        <v>0</v>
      </c>
      <c r="D63" s="106"/>
      <c r="E63" s="108">
        <f>D63/D59*100</f>
        <v>0</v>
      </c>
      <c r="F63" s="108" t="e">
        <f t="shared" si="7"/>
        <v>#DIV/0!</v>
      </c>
      <c r="G63" s="108" t="e">
        <f t="shared" si="5"/>
        <v>#DIV/0!</v>
      </c>
      <c r="H63" s="106">
        <f t="shared" si="8"/>
        <v>0</v>
      </c>
      <c r="I63" s="106">
        <f t="shared" si="6"/>
        <v>0</v>
      </c>
      <c r="J63" s="160"/>
      <c r="K63" s="157"/>
    </row>
    <row r="64" spans="1:11" s="93" customFormat="1" ht="18.75" thickBot="1">
      <c r="A64" s="104" t="s">
        <v>28</v>
      </c>
      <c r="B64" s="130">
        <f>B59-B60-B62-B63-B61</f>
        <v>20.499999999999943</v>
      </c>
      <c r="C64" s="130">
        <f>C59-C60-C62-C63-C61</f>
        <v>30.60000000000008</v>
      </c>
      <c r="D64" s="130">
        <f>D59-D60-D62-D63-D61</f>
        <v>10.000000000000005</v>
      </c>
      <c r="E64" s="108">
        <f>D64/D59*100</f>
        <v>3.9277297721916753</v>
      </c>
      <c r="F64" s="108">
        <f t="shared" si="7"/>
        <v>48.780487804878206</v>
      </c>
      <c r="G64" s="108">
        <f t="shared" si="5"/>
        <v>32.67973856209144</v>
      </c>
      <c r="H64" s="106">
        <f t="shared" si="8"/>
        <v>10.499999999999938</v>
      </c>
      <c r="I64" s="106">
        <f t="shared" si="6"/>
        <v>20.600000000000072</v>
      </c>
      <c r="J64" s="160"/>
      <c r="K64" s="157"/>
    </row>
    <row r="65" spans="1:11" s="32" customFormat="1" ht="18.75" hidden="1" thickBot="1">
      <c r="A65" s="74" t="s">
        <v>77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161"/>
      <c r="K65" s="157">
        <f>C65-B65</f>
        <v>0</v>
      </c>
    </row>
    <row r="66" spans="1:11" s="32" customFormat="1" ht="18.75" hidden="1" thickBot="1">
      <c r="A66" s="74" t="s">
        <v>63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161"/>
      <c r="K66" s="157">
        <f>C66-B66</f>
        <v>0</v>
      </c>
    </row>
    <row r="67" spans="1:11" s="32" customFormat="1" ht="18.75" hidden="1" thickBot="1">
      <c r="A67" s="74" t="s">
        <v>64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161"/>
      <c r="K67" s="157">
        <f>C67-B67</f>
        <v>0</v>
      </c>
    </row>
    <row r="68" spans="1:11" s="32" customFormat="1" ht="18.75" hidden="1" thickBot="1">
      <c r="A68" s="74" t="s">
        <v>65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161"/>
      <c r="K68" s="157">
        <f>C68-B68</f>
        <v>0</v>
      </c>
    </row>
    <row r="69" spans="1:11" ht="18.75" thickBot="1">
      <c r="A69" s="20" t="s">
        <v>20</v>
      </c>
      <c r="B69" s="39">
        <f>B70+B71</f>
        <v>61.2</v>
      </c>
      <c r="C69" s="39">
        <f>C70+C71</f>
        <v>91.9</v>
      </c>
      <c r="D69" s="40">
        <f>D70+D71</f>
        <v>0</v>
      </c>
      <c r="E69" s="30">
        <f>D69/D152*100</f>
        <v>0</v>
      </c>
      <c r="F69" s="3">
        <f>D69/B69*100</f>
        <v>0</v>
      </c>
      <c r="G69" s="3">
        <f t="shared" si="5"/>
        <v>0</v>
      </c>
      <c r="H69" s="40">
        <f>B69-D69</f>
        <v>61.2</v>
      </c>
      <c r="I69" s="40">
        <f t="shared" si="6"/>
        <v>91.9</v>
      </c>
      <c r="J69" s="160"/>
      <c r="K69" s="157"/>
    </row>
    <row r="70" spans="1:11" s="93" customFormat="1" ht="18">
      <c r="A70" s="104" t="s">
        <v>8</v>
      </c>
      <c r="B70" s="129"/>
      <c r="C70" s="130"/>
      <c r="D70" s="106"/>
      <c r="E70" s="108" t="e">
        <f>D70/D69*100</f>
        <v>#DIV/0!</v>
      </c>
      <c r="F70" s="108" t="e">
        <f t="shared" si="7"/>
        <v>#DIV/0!</v>
      </c>
      <c r="G70" s="108" t="e">
        <f t="shared" si="5"/>
        <v>#DIV/0!</v>
      </c>
      <c r="H70" s="106">
        <f t="shared" si="8"/>
        <v>0</v>
      </c>
      <c r="I70" s="106">
        <f t="shared" si="6"/>
        <v>0</v>
      </c>
      <c r="J70" s="160"/>
      <c r="K70" s="157"/>
    </row>
    <row r="71" spans="1:11" s="93" customFormat="1" ht="18.75" thickBot="1">
      <c r="A71" s="104" t="s">
        <v>9</v>
      </c>
      <c r="B71" s="129">
        <f>30.6+30.6</f>
        <v>61.2</v>
      </c>
      <c r="C71" s="130">
        <v>91.9</v>
      </c>
      <c r="D71" s="106"/>
      <c r="E71" s="108" t="e">
        <f>D71/D70*100</f>
        <v>#DIV/0!</v>
      </c>
      <c r="F71" s="108">
        <f t="shared" si="7"/>
        <v>0</v>
      </c>
      <c r="G71" s="108">
        <f t="shared" si="5"/>
        <v>0</v>
      </c>
      <c r="H71" s="106">
        <f t="shared" si="8"/>
        <v>61.2</v>
      </c>
      <c r="I71" s="106">
        <f t="shared" si="6"/>
        <v>91.9</v>
      </c>
      <c r="J71" s="160"/>
      <c r="K71" s="157"/>
    </row>
    <row r="72" spans="1:11" ht="36.75" hidden="1" thickBot="1">
      <c r="A72" s="12" t="s">
        <v>42</v>
      </c>
      <c r="B72" s="45"/>
      <c r="C72" s="39">
        <f>C73+C74+C75+C76</f>
        <v>0</v>
      </c>
      <c r="D72" s="39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160"/>
      <c r="K72" s="157"/>
    </row>
    <row r="73" spans="1:11" ht="18" hidden="1">
      <c r="A73" s="16" t="s">
        <v>46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160"/>
      <c r="K73" s="157"/>
    </row>
    <row r="74" spans="1:11" ht="18" hidden="1">
      <c r="A74" s="16" t="s">
        <v>47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160"/>
      <c r="K74" s="157"/>
    </row>
    <row r="75" spans="1:11" ht="18" hidden="1">
      <c r="A75" s="22" t="s">
        <v>35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160"/>
      <c r="K75" s="157"/>
    </row>
    <row r="76" spans="1:11" ht="18.75" hidden="1" thickBot="1">
      <c r="A76" s="22" t="s">
        <v>43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160"/>
      <c r="K76" s="157"/>
    </row>
    <row r="77" spans="1:11" s="32" customFormat="1" ht="18.75" thickBot="1">
      <c r="A77" s="23" t="s">
        <v>13</v>
      </c>
      <c r="B77" s="46">
        <f>76.1-25.2+101.3</f>
        <v>152.2</v>
      </c>
      <c r="C77" s="53">
        <v>228.2</v>
      </c>
      <c r="D77" s="54"/>
      <c r="E77" s="34"/>
      <c r="F77" s="34"/>
      <c r="G77" s="34"/>
      <c r="H77" s="54">
        <f>B77-D77</f>
        <v>152.2</v>
      </c>
      <c r="I77" s="54">
        <f t="shared" si="6"/>
        <v>228.2</v>
      </c>
      <c r="J77" s="161"/>
      <c r="K77" s="157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160"/>
      <c r="K78" s="157"/>
    </row>
    <row r="79" spans="1:11" ht="18.75" customHeight="1" hidden="1" thickBot="1">
      <c r="A79" s="12" t="s">
        <v>57</v>
      </c>
      <c r="B79" s="45"/>
      <c r="C79" s="39"/>
      <c r="D79" s="39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160"/>
      <c r="K79" s="157"/>
    </row>
    <row r="80" spans="1:11" s="8" customFormat="1" ht="18" hidden="1">
      <c r="A80" s="9" t="s">
        <v>56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62"/>
      <c r="K80" s="157"/>
    </row>
    <row r="81" spans="1:11" s="8" customFormat="1" ht="32.25" hidden="1">
      <c r="A81" s="9" t="s">
        <v>54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62"/>
      <c r="K81" s="157"/>
    </row>
    <row r="82" spans="1:11" s="8" customFormat="1" ht="16.5" customHeight="1" hidden="1">
      <c r="A82" s="9" t="s">
        <v>34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62"/>
      <c r="K82" s="157"/>
    </row>
    <row r="83" spans="1:11" s="8" customFormat="1" ht="33" customHeight="1" hidden="1" thickBot="1">
      <c r="A83" s="9" t="s">
        <v>40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62"/>
      <c r="K83" s="157"/>
    </row>
    <row r="84" spans="1:11" ht="35.25" customHeight="1" hidden="1" thickBot="1">
      <c r="A84" s="12" t="s">
        <v>36</v>
      </c>
      <c r="B84" s="45"/>
      <c r="C84" s="39"/>
      <c r="D84" s="39"/>
      <c r="E84" s="3">
        <f>D84/D152*100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160"/>
      <c r="K84" s="157"/>
    </row>
    <row r="85" spans="1:11" ht="16.5" customHeight="1" hidden="1">
      <c r="A85" s="21" t="s">
        <v>24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160"/>
      <c r="K85" s="157"/>
    </row>
    <row r="86" spans="1:11" ht="16.5" customHeight="1" hidden="1" thickBot="1">
      <c r="A86" s="21" t="s">
        <v>25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160"/>
      <c r="K86" s="157"/>
    </row>
    <row r="87" spans="1:11" ht="34.5" customHeight="1" hidden="1" thickBot="1">
      <c r="A87" s="12" t="s">
        <v>37</v>
      </c>
      <c r="B87" s="45"/>
      <c r="C87" s="39"/>
      <c r="D87" s="39"/>
      <c r="E87" s="3">
        <f>D87/D152*100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160"/>
      <c r="K87" s="157"/>
    </row>
    <row r="88" spans="1:11" ht="17.25" customHeight="1" hidden="1">
      <c r="A88" s="21" t="s">
        <v>24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160"/>
      <c r="K88" s="157"/>
    </row>
    <row r="89" spans="1:11" ht="17.25" customHeight="1" hidden="1" thickBot="1">
      <c r="A89" s="21" t="s">
        <v>25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160"/>
      <c r="K89" s="157"/>
    </row>
    <row r="90" spans="1:11" ht="18.75" thickBot="1">
      <c r="A90" s="12" t="s">
        <v>10</v>
      </c>
      <c r="B90" s="45">
        <f>13364.7-393.5-16.7+25.2+29.8+328.3+12601</f>
        <v>25938.8</v>
      </c>
      <c r="C90" s="39">
        <f>40094.1-1180.6-50</f>
        <v>38863.5</v>
      </c>
      <c r="D90" s="40">
        <f>3076.1+1190.1+85.4+19.6+5.2+812.5+1196.5+4.7+5442.2+898.8+0.6+38.7+164.7+18.3+70.9+29.7</f>
        <v>13054</v>
      </c>
      <c r="E90" s="3">
        <f>D90/D152*100</f>
        <v>12.05381093042604</v>
      </c>
      <c r="F90" s="3">
        <f aca="true" t="shared" si="11" ref="F90:F96">D90/B90*100</f>
        <v>50.32615232778694</v>
      </c>
      <c r="G90" s="3">
        <f t="shared" si="9"/>
        <v>33.58935762347704</v>
      </c>
      <c r="H90" s="40">
        <f aca="true" t="shared" si="12" ref="H90:H96">B90-D90</f>
        <v>12884.8</v>
      </c>
      <c r="I90" s="40">
        <f t="shared" si="10"/>
        <v>25809.5</v>
      </c>
      <c r="J90" s="160"/>
      <c r="K90" s="157"/>
    </row>
    <row r="91" spans="1:11" s="93" customFormat="1" ht="18">
      <c r="A91" s="104" t="s">
        <v>3</v>
      </c>
      <c r="B91" s="129">
        <f>25+12517.8+27.4+362.7+12060.1</f>
        <v>24993</v>
      </c>
      <c r="C91" s="130">
        <v>37361.9</v>
      </c>
      <c r="D91" s="106">
        <f>3071.3+1190.01+77.9+810.1+1179.1+5434.9+841.3+37+143.9+8.8+37.8+16.1</f>
        <v>12848.209999999997</v>
      </c>
      <c r="E91" s="108">
        <f>D91/D90*100</f>
        <v>98.42354833767426</v>
      </c>
      <c r="F91" s="108">
        <f t="shared" si="11"/>
        <v>51.40723402552714</v>
      </c>
      <c r="G91" s="108">
        <f t="shared" si="9"/>
        <v>34.388534844320006</v>
      </c>
      <c r="H91" s="106">
        <f t="shared" si="12"/>
        <v>12144.790000000003</v>
      </c>
      <c r="I91" s="106">
        <f t="shared" si="10"/>
        <v>24513.690000000002</v>
      </c>
      <c r="J91" s="160"/>
      <c r="K91" s="157"/>
    </row>
    <row r="92" spans="1:11" s="93" customFormat="1" ht="18">
      <c r="A92" s="104" t="s">
        <v>26</v>
      </c>
      <c r="B92" s="129">
        <f>171+171</f>
        <v>342</v>
      </c>
      <c r="C92" s="130">
        <v>513.1</v>
      </c>
      <c r="D92" s="106">
        <f>57.2+3.4</f>
        <v>60.6</v>
      </c>
      <c r="E92" s="108">
        <f>D92/D90*100</f>
        <v>0.4642255247433737</v>
      </c>
      <c r="F92" s="108">
        <f t="shared" si="11"/>
        <v>17.719298245614034</v>
      </c>
      <c r="G92" s="108">
        <f t="shared" si="9"/>
        <v>11.810563243032547</v>
      </c>
      <c r="H92" s="106">
        <f t="shared" si="12"/>
        <v>281.4</v>
      </c>
      <c r="I92" s="106">
        <f t="shared" si="10"/>
        <v>452.5</v>
      </c>
      <c r="J92" s="160"/>
      <c r="K92" s="157"/>
    </row>
    <row r="93" spans="1:11" s="93" customFormat="1" ht="18" hidden="1">
      <c r="A93" s="104" t="s">
        <v>14</v>
      </c>
      <c r="B93" s="129"/>
      <c r="C93" s="130"/>
      <c r="D93" s="130"/>
      <c r="E93" s="131">
        <f>D93/D90*100</f>
        <v>0</v>
      </c>
      <c r="F93" s="108"/>
      <c r="G93" s="108" t="e">
        <f t="shared" si="9"/>
        <v>#DIV/0!</v>
      </c>
      <c r="H93" s="106">
        <f t="shared" si="12"/>
        <v>0</v>
      </c>
      <c r="I93" s="106">
        <f t="shared" si="10"/>
        <v>0</v>
      </c>
      <c r="J93" s="160"/>
      <c r="K93" s="157">
        <f aca="true" t="shared" si="13" ref="K93:K101">C93-B93</f>
        <v>0</v>
      </c>
    </row>
    <row r="94" spans="1:11" s="93" customFormat="1" ht="18.75" thickBot="1">
      <c r="A94" s="104" t="s">
        <v>28</v>
      </c>
      <c r="B94" s="130">
        <f>B90-B91-B92-B93</f>
        <v>603.7999999999993</v>
      </c>
      <c r="C94" s="130">
        <f>C90-C91-C92-C93</f>
        <v>988.4999999999985</v>
      </c>
      <c r="D94" s="130">
        <f>D90-D91-D92-D93</f>
        <v>145.1900000000027</v>
      </c>
      <c r="E94" s="108">
        <f>D94/D90*100</f>
        <v>1.1122261375823708</v>
      </c>
      <c r="F94" s="108">
        <f t="shared" si="11"/>
        <v>24.04604173567454</v>
      </c>
      <c r="G94" s="108">
        <f>D94/C94*100</f>
        <v>14.6879109762269</v>
      </c>
      <c r="H94" s="106">
        <f t="shared" si="12"/>
        <v>458.6099999999966</v>
      </c>
      <c r="I94" s="106">
        <f>C94-D94</f>
        <v>843.3099999999959</v>
      </c>
      <c r="J94" s="160"/>
      <c r="K94" s="157"/>
    </row>
    <row r="95" spans="1:11" ht="18">
      <c r="A95" s="82" t="s">
        <v>12</v>
      </c>
      <c r="B95" s="91">
        <f>2841.3-97.3+528.7+2938.6</f>
        <v>6211.299999999999</v>
      </c>
      <c r="C95" s="85">
        <v>8523.8</v>
      </c>
      <c r="D95" s="84">
        <f>627.6+194.6+194.6+1234+510.7+28.2+0.5</f>
        <v>2790.2</v>
      </c>
      <c r="E95" s="81">
        <f>D95/D152*100</f>
        <v>2.57641667366897</v>
      </c>
      <c r="F95" s="83">
        <f t="shared" si="11"/>
        <v>44.92135301788676</v>
      </c>
      <c r="G95" s="80">
        <f>D95/C95*100</f>
        <v>32.73422651868885</v>
      </c>
      <c r="H95" s="84">
        <f t="shared" si="12"/>
        <v>3421.0999999999995</v>
      </c>
      <c r="I95" s="87">
        <f>C95-D95</f>
        <v>5733.599999999999</v>
      </c>
      <c r="J95" s="160"/>
      <c r="K95" s="157"/>
    </row>
    <row r="96" spans="1:11" s="93" customFormat="1" ht="18.75" thickBot="1">
      <c r="A96" s="132" t="s">
        <v>84</v>
      </c>
      <c r="B96" s="133">
        <f>967.9-67.9+528.7+1035.8</f>
        <v>2464.5</v>
      </c>
      <c r="C96" s="134">
        <v>2903.7</v>
      </c>
      <c r="D96" s="135">
        <f>194.6+1234+3.4+0.5</f>
        <v>1432.5</v>
      </c>
      <c r="E96" s="136">
        <f>D96/D95*100</f>
        <v>51.34040570568419</v>
      </c>
      <c r="F96" s="137">
        <f t="shared" si="11"/>
        <v>58.1253804017042</v>
      </c>
      <c r="G96" s="138">
        <f>D96/C96*100</f>
        <v>49.33360884388883</v>
      </c>
      <c r="H96" s="139">
        <f t="shared" si="12"/>
        <v>1032</v>
      </c>
      <c r="I96" s="128">
        <f>C96-D96</f>
        <v>1471.1999999999998</v>
      </c>
      <c r="J96" s="160"/>
      <c r="K96" s="157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160"/>
      <c r="K97" s="157"/>
    </row>
    <row r="98" spans="1:11" ht="18.75" hidden="1" thickBot="1">
      <c r="A98" s="25" t="s">
        <v>38</v>
      </c>
      <c r="B98" s="59"/>
      <c r="C98" s="60"/>
      <c r="D98" s="61"/>
      <c r="E98" s="3">
        <f>D98/D152*100</f>
        <v>0</v>
      </c>
      <c r="F98" s="3"/>
      <c r="G98" s="3" t="e">
        <f>D98/C98*100</f>
        <v>#DIV/0!</v>
      </c>
      <c r="H98" s="40"/>
      <c r="I98" s="40">
        <f>C98-D98</f>
        <v>0</v>
      </c>
      <c r="J98" s="160"/>
      <c r="K98" s="157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160"/>
      <c r="K99" s="157">
        <f t="shared" si="13"/>
        <v>0</v>
      </c>
    </row>
    <row r="100" spans="1:11" s="14" customFormat="1" ht="36" customHeight="1" hidden="1" thickBot="1">
      <c r="A100" s="12" t="s">
        <v>52</v>
      </c>
      <c r="B100" s="45"/>
      <c r="C100" s="39"/>
      <c r="D100" s="40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63"/>
      <c r="K100" s="157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160"/>
      <c r="K101" s="157">
        <f t="shared" si="13"/>
        <v>0</v>
      </c>
    </row>
    <row r="102" spans="1:11" s="32" customFormat="1" ht="18.75" thickBot="1">
      <c r="A102" s="12" t="s">
        <v>11</v>
      </c>
      <c r="B102" s="90">
        <f>866.7+879.3</f>
        <v>1746</v>
      </c>
      <c r="C102" s="70">
        <v>2621.7</v>
      </c>
      <c r="D102" s="65">
        <f>144.5+120.5+0.1+30.9</f>
        <v>296</v>
      </c>
      <c r="E102" s="17">
        <f>D102/D152*100</f>
        <v>0.2733206707067648</v>
      </c>
      <c r="F102" s="17">
        <f>D102/B102*100</f>
        <v>16.95303550973654</v>
      </c>
      <c r="G102" s="17">
        <f aca="true" t="shared" si="14" ref="G102:G150">D102/C102*100</f>
        <v>11.290384101918603</v>
      </c>
      <c r="H102" s="65">
        <f aca="true" t="shared" si="15" ref="H102:H107">B102-D102</f>
        <v>1450</v>
      </c>
      <c r="I102" s="65">
        <f aca="true" t="shared" si="16" ref="I102:I150">C102-D102</f>
        <v>2325.7</v>
      </c>
      <c r="J102" s="161"/>
      <c r="K102" s="157"/>
    </row>
    <row r="103" spans="1:11" s="93" customFormat="1" ht="18.75" customHeight="1" hidden="1">
      <c r="A103" s="104" t="s">
        <v>3</v>
      </c>
      <c r="B103" s="121">
        <v>0</v>
      </c>
      <c r="C103" s="122">
        <v>0</v>
      </c>
      <c r="D103" s="122"/>
      <c r="E103" s="123">
        <f>D103/D102*100</f>
        <v>0</v>
      </c>
      <c r="F103" s="108" t="e">
        <f>D103/B103*100</f>
        <v>#DIV/0!</v>
      </c>
      <c r="G103" s="123" t="e">
        <f>D103/C103*100</f>
        <v>#DIV/0!</v>
      </c>
      <c r="H103" s="122">
        <f t="shared" si="15"/>
        <v>0</v>
      </c>
      <c r="I103" s="122">
        <f t="shared" si="16"/>
        <v>0</v>
      </c>
      <c r="J103" s="160"/>
      <c r="K103" s="157"/>
    </row>
    <row r="104" spans="1:11" s="93" customFormat="1" ht="18">
      <c r="A104" s="124" t="s">
        <v>49</v>
      </c>
      <c r="B104" s="105">
        <f>565.6+725.5</f>
        <v>1291.1</v>
      </c>
      <c r="C104" s="106">
        <v>1703.5</v>
      </c>
      <c r="D104" s="106">
        <f>144.4+120.5+0.1+30.9</f>
        <v>295.9</v>
      </c>
      <c r="E104" s="108">
        <f>D104/D102*100</f>
        <v>99.96621621621621</v>
      </c>
      <c r="F104" s="108">
        <f aca="true" t="shared" si="17" ref="F104:F150">D104/B104*100</f>
        <v>22.918441638912554</v>
      </c>
      <c r="G104" s="108">
        <f t="shared" si="14"/>
        <v>17.370120340475488</v>
      </c>
      <c r="H104" s="106">
        <f t="shared" si="15"/>
        <v>995.1999999999999</v>
      </c>
      <c r="I104" s="106">
        <f t="shared" si="16"/>
        <v>1407.6</v>
      </c>
      <c r="J104" s="160"/>
      <c r="K104" s="157"/>
    </row>
    <row r="105" spans="1:11" s="93" customFormat="1" ht="55.5" hidden="1" thickBot="1">
      <c r="A105" s="125" t="s">
        <v>80</v>
      </c>
      <c r="B105" s="126"/>
      <c r="C105" s="126"/>
      <c r="D105" s="126"/>
      <c r="E105" s="127">
        <f>D105/D102*100</f>
        <v>0</v>
      </c>
      <c r="F105" s="127" t="e">
        <f>D105/B105*100</f>
        <v>#DIV/0!</v>
      </c>
      <c r="G105" s="127" t="e">
        <f>D105/C105*100</f>
        <v>#DIV/0!</v>
      </c>
      <c r="H105" s="128">
        <f t="shared" si="15"/>
        <v>0</v>
      </c>
      <c r="I105" s="128">
        <f>C105-D105</f>
        <v>0</v>
      </c>
      <c r="J105" s="160"/>
      <c r="K105" s="157"/>
    </row>
    <row r="106" spans="1:11" s="93" customFormat="1" ht="18.75" thickBot="1">
      <c r="A106" s="125" t="s">
        <v>28</v>
      </c>
      <c r="B106" s="126">
        <f>B102-B103-B104</f>
        <v>454.9000000000001</v>
      </c>
      <c r="C106" s="126">
        <f>C102-C103-C104</f>
        <v>918.1999999999998</v>
      </c>
      <c r="D106" s="126">
        <f>D102-D103-D104</f>
        <v>0.10000000000002274</v>
      </c>
      <c r="E106" s="127">
        <f>D106/D102*100</f>
        <v>0.03378378378379147</v>
      </c>
      <c r="F106" s="127">
        <f t="shared" si="17"/>
        <v>0.021982853374372988</v>
      </c>
      <c r="G106" s="127">
        <f t="shared" si="14"/>
        <v>0.010890873448053012</v>
      </c>
      <c r="H106" s="128">
        <f>B106-D106</f>
        <v>454.80000000000007</v>
      </c>
      <c r="I106" s="128">
        <f t="shared" si="16"/>
        <v>918.0999999999998</v>
      </c>
      <c r="J106" s="160"/>
      <c r="K106" s="157"/>
    </row>
    <row r="107" spans="1:12" s="2" customFormat="1" ht="26.25" customHeight="1" thickBot="1">
      <c r="A107" s="66" t="s">
        <v>29</v>
      </c>
      <c r="B107" s="67">
        <f>SUM(B108:B149)-B115-B119+B150-B140-B141-B109-B112-B122-B123-B138-B131-B129-B136</f>
        <v>22203.5</v>
      </c>
      <c r="C107" s="67">
        <f>SUM(C108:C149)-C115-C119+C150-C140-C141-C109-C112-C122-C123-C138-C131-C129-C136</f>
        <v>31564.5</v>
      </c>
      <c r="D107" s="67">
        <f>SUM(D108:D149)-D115-D119+D150-D140-D141-D109-D112-D122-D123-D138-D131-D129-D136</f>
        <v>10928.7</v>
      </c>
      <c r="E107" s="68">
        <f>D107/D152*100</f>
        <v>10.091350047138583</v>
      </c>
      <c r="F107" s="68">
        <f>D107/B107*100</f>
        <v>49.220618370977554</v>
      </c>
      <c r="G107" s="68">
        <f t="shared" si="14"/>
        <v>34.62339020101697</v>
      </c>
      <c r="H107" s="67">
        <f t="shared" si="15"/>
        <v>11274.8</v>
      </c>
      <c r="I107" s="67">
        <f t="shared" si="16"/>
        <v>20635.8</v>
      </c>
      <c r="J107" s="159"/>
      <c r="K107" s="157"/>
      <c r="L107" s="96"/>
    </row>
    <row r="108" spans="1:12" s="93" customFormat="1" ht="36.75">
      <c r="A108" s="97" t="s">
        <v>53</v>
      </c>
      <c r="B108" s="98">
        <f>393.5+393.5</f>
        <v>787</v>
      </c>
      <c r="C108" s="99">
        <v>1180.6</v>
      </c>
      <c r="D108" s="100">
        <f>17.1+81.1+17.3+60.5</f>
        <v>176</v>
      </c>
      <c r="E108" s="101">
        <f>D108/D107*100</f>
        <v>1.6104385700037516</v>
      </c>
      <c r="F108" s="101">
        <f t="shared" si="17"/>
        <v>22.36340533672173</v>
      </c>
      <c r="G108" s="101">
        <f t="shared" si="14"/>
        <v>14.907674064035238</v>
      </c>
      <c r="H108" s="102">
        <f aca="true" t="shared" si="18" ref="H108:H150">B108-D108</f>
        <v>611</v>
      </c>
      <c r="I108" s="102">
        <f t="shared" si="16"/>
        <v>1004.5999999999999</v>
      </c>
      <c r="K108" s="157"/>
      <c r="L108" s="103"/>
    </row>
    <row r="109" spans="1:12" s="93" customFormat="1" ht="18">
      <c r="A109" s="104" t="s">
        <v>26</v>
      </c>
      <c r="B109" s="105">
        <f>175.8+175.8</f>
        <v>351.6</v>
      </c>
      <c r="C109" s="106">
        <v>527.5</v>
      </c>
      <c r="D109" s="107">
        <f>47.8+0.9+59.7</f>
        <v>108.4</v>
      </c>
      <c r="E109" s="108">
        <f>D109/D108*100</f>
        <v>61.59090909090909</v>
      </c>
      <c r="F109" s="108">
        <f t="shared" si="17"/>
        <v>30.830489192263936</v>
      </c>
      <c r="G109" s="108">
        <f t="shared" si="14"/>
        <v>20.549763033175356</v>
      </c>
      <c r="H109" s="106">
        <f t="shared" si="18"/>
        <v>243.20000000000002</v>
      </c>
      <c r="I109" s="106">
        <f t="shared" si="16"/>
        <v>419.1</v>
      </c>
      <c r="K109" s="157"/>
      <c r="L109" s="103"/>
    </row>
    <row r="110" spans="1:12" s="93" customFormat="1" ht="34.5" customHeight="1" hidden="1">
      <c r="A110" s="109" t="s">
        <v>79</v>
      </c>
      <c r="B110" s="110"/>
      <c r="C110" s="102"/>
      <c r="D110" s="100"/>
      <c r="E110" s="101">
        <f>D110/D107*100</f>
        <v>0</v>
      </c>
      <c r="F110" s="101" t="e">
        <f>D110/B110*100</f>
        <v>#DIV/0!</v>
      </c>
      <c r="G110" s="101" t="e">
        <f t="shared" si="14"/>
        <v>#DIV/0!</v>
      </c>
      <c r="H110" s="102">
        <f t="shared" si="18"/>
        <v>0</v>
      </c>
      <c r="I110" s="102">
        <f t="shared" si="16"/>
        <v>0</v>
      </c>
      <c r="K110" s="157"/>
      <c r="L110" s="103"/>
    </row>
    <row r="111" spans="1:12" s="94" customFormat="1" ht="34.5" customHeight="1">
      <c r="A111" s="109" t="s">
        <v>94</v>
      </c>
      <c r="B111" s="110">
        <f>3.3+3.3</f>
        <v>6.6</v>
      </c>
      <c r="C111" s="111">
        <v>9.9</v>
      </c>
      <c r="D111" s="112"/>
      <c r="E111" s="101">
        <f>D111/D107*100</f>
        <v>0</v>
      </c>
      <c r="F111" s="113">
        <f t="shared" si="17"/>
        <v>0</v>
      </c>
      <c r="G111" s="101">
        <f t="shared" si="14"/>
        <v>0</v>
      </c>
      <c r="H111" s="102">
        <f t="shared" si="18"/>
        <v>6.6</v>
      </c>
      <c r="I111" s="102">
        <f t="shared" si="16"/>
        <v>9.9</v>
      </c>
      <c r="K111" s="157"/>
      <c r="L111" s="103"/>
    </row>
    <row r="112" spans="1:12" s="93" customFormat="1" ht="18" hidden="1">
      <c r="A112" s="104" t="s">
        <v>26</v>
      </c>
      <c r="B112" s="105"/>
      <c r="C112" s="106"/>
      <c r="D112" s="107"/>
      <c r="E112" s="108"/>
      <c r="F112" s="108" t="e">
        <f t="shared" si="17"/>
        <v>#DIV/0!</v>
      </c>
      <c r="G112" s="108" t="e">
        <f t="shared" si="14"/>
        <v>#DIV/0!</v>
      </c>
      <c r="H112" s="106">
        <f t="shared" si="18"/>
        <v>0</v>
      </c>
      <c r="I112" s="106">
        <f t="shared" si="16"/>
        <v>0</v>
      </c>
      <c r="K112" s="157"/>
      <c r="L112" s="103"/>
    </row>
    <row r="113" spans="1:12" s="93" customFormat="1" ht="18" hidden="1">
      <c r="A113" s="109" t="s">
        <v>90</v>
      </c>
      <c r="B113" s="110"/>
      <c r="C113" s="102"/>
      <c r="D113" s="100"/>
      <c r="E113" s="101">
        <f>D113/D107*100</f>
        <v>0</v>
      </c>
      <c r="F113" s="101" t="e">
        <f t="shared" si="17"/>
        <v>#DIV/0!</v>
      </c>
      <c r="G113" s="101" t="e">
        <f t="shared" si="14"/>
        <v>#DIV/0!</v>
      </c>
      <c r="H113" s="102">
        <f t="shared" si="18"/>
        <v>0</v>
      </c>
      <c r="I113" s="102">
        <f t="shared" si="16"/>
        <v>0</v>
      </c>
      <c r="K113" s="157"/>
      <c r="L113" s="103"/>
    </row>
    <row r="114" spans="1:12" s="93" customFormat="1" ht="36.75">
      <c r="A114" s="109" t="s">
        <v>39</v>
      </c>
      <c r="B114" s="110">
        <f>245.3+245.3</f>
        <v>490.6</v>
      </c>
      <c r="C114" s="102">
        <v>735.9</v>
      </c>
      <c r="D114" s="100">
        <f>136.4+10+40+6.6</f>
        <v>193</v>
      </c>
      <c r="E114" s="101">
        <f>D114/D107*100</f>
        <v>1.7659922955154777</v>
      </c>
      <c r="F114" s="101">
        <f t="shared" si="17"/>
        <v>39.33958418263351</v>
      </c>
      <c r="G114" s="101">
        <f t="shared" si="14"/>
        <v>26.226389455089006</v>
      </c>
      <c r="H114" s="102">
        <f t="shared" si="18"/>
        <v>297.6</v>
      </c>
      <c r="I114" s="102">
        <f t="shared" si="16"/>
        <v>542.9</v>
      </c>
      <c r="K114" s="157"/>
      <c r="L114" s="103"/>
    </row>
    <row r="115" spans="1:12" s="93" customFormat="1" ht="18" hidden="1">
      <c r="A115" s="114" t="s">
        <v>44</v>
      </c>
      <c r="B115" s="105"/>
      <c r="C115" s="106"/>
      <c r="D115" s="107"/>
      <c r="E115" s="101"/>
      <c r="F115" s="101" t="e">
        <f t="shared" si="17"/>
        <v>#DIV/0!</v>
      </c>
      <c r="G115" s="108" t="e">
        <f t="shared" si="14"/>
        <v>#DIV/0!</v>
      </c>
      <c r="H115" s="106">
        <f t="shared" si="18"/>
        <v>0</v>
      </c>
      <c r="I115" s="106">
        <f t="shared" si="16"/>
        <v>0</v>
      </c>
      <c r="K115" s="157"/>
      <c r="L115" s="103"/>
    </row>
    <row r="116" spans="1:12" s="94" customFormat="1" ht="18.75" customHeight="1" hidden="1">
      <c r="A116" s="109" t="s">
        <v>91</v>
      </c>
      <c r="B116" s="110"/>
      <c r="C116" s="111"/>
      <c r="D116" s="112"/>
      <c r="E116" s="115">
        <f>D116/D107*100</f>
        <v>0</v>
      </c>
      <c r="F116" s="101" t="e">
        <f t="shared" si="17"/>
        <v>#DIV/0!</v>
      </c>
      <c r="G116" s="115" t="e">
        <f t="shared" si="14"/>
        <v>#DIV/0!</v>
      </c>
      <c r="H116" s="111">
        <f t="shared" si="18"/>
        <v>0</v>
      </c>
      <c r="I116" s="111">
        <f t="shared" si="16"/>
        <v>0</v>
      </c>
      <c r="K116" s="157"/>
      <c r="L116" s="103"/>
    </row>
    <row r="117" spans="1:12" s="93" customFormat="1" ht="36.75">
      <c r="A117" s="109" t="s">
        <v>48</v>
      </c>
      <c r="B117" s="110">
        <f>10.1+10.1</f>
        <v>20.2</v>
      </c>
      <c r="C117" s="102">
        <v>30.3</v>
      </c>
      <c r="D117" s="100"/>
      <c r="E117" s="101">
        <f>D117/D107*100</f>
        <v>0</v>
      </c>
      <c r="F117" s="101">
        <f>D117/B117*100</f>
        <v>0</v>
      </c>
      <c r="G117" s="101">
        <f t="shared" si="14"/>
        <v>0</v>
      </c>
      <c r="H117" s="102">
        <f t="shared" si="18"/>
        <v>20.2</v>
      </c>
      <c r="I117" s="102">
        <f t="shared" si="16"/>
        <v>30.3</v>
      </c>
      <c r="K117" s="157"/>
      <c r="L117" s="103"/>
    </row>
    <row r="118" spans="1:12" s="116" customFormat="1" ht="18">
      <c r="A118" s="109" t="s">
        <v>15</v>
      </c>
      <c r="B118" s="110">
        <f>45.4+45.4</f>
        <v>90.8</v>
      </c>
      <c r="C118" s="111">
        <v>136.2</v>
      </c>
      <c r="D118" s="100">
        <v>45.4</v>
      </c>
      <c r="E118" s="101">
        <f>D118/D107*100</f>
        <v>0.41541994930778586</v>
      </c>
      <c r="F118" s="101">
        <f t="shared" si="17"/>
        <v>50</v>
      </c>
      <c r="G118" s="101">
        <f t="shared" si="14"/>
        <v>33.333333333333336</v>
      </c>
      <c r="H118" s="102">
        <f t="shared" si="18"/>
        <v>45.4</v>
      </c>
      <c r="I118" s="102">
        <f t="shared" si="16"/>
        <v>90.79999999999998</v>
      </c>
      <c r="K118" s="157"/>
      <c r="L118" s="103"/>
    </row>
    <row r="119" spans="1:12" s="117" customFormat="1" ht="18">
      <c r="A119" s="114" t="s">
        <v>44</v>
      </c>
      <c r="B119" s="105">
        <f>43.3+43.3</f>
        <v>86.6</v>
      </c>
      <c r="C119" s="106">
        <v>129.6</v>
      </c>
      <c r="D119" s="107">
        <v>45.4</v>
      </c>
      <c r="E119" s="108">
        <f>D119/D118*100</f>
        <v>100</v>
      </c>
      <c r="F119" s="108">
        <f t="shared" si="17"/>
        <v>52.42494226327945</v>
      </c>
      <c r="G119" s="108">
        <f t="shared" si="14"/>
        <v>35.03086419753087</v>
      </c>
      <c r="H119" s="106">
        <f t="shared" si="18"/>
        <v>41.199999999999996</v>
      </c>
      <c r="I119" s="106">
        <f t="shared" si="16"/>
        <v>84.19999999999999</v>
      </c>
      <c r="K119" s="157"/>
      <c r="L119" s="103"/>
    </row>
    <row r="120" spans="1:12" s="116" customFormat="1" ht="18" hidden="1">
      <c r="A120" s="109" t="s">
        <v>21</v>
      </c>
      <c r="B120" s="110"/>
      <c r="C120" s="111"/>
      <c r="D120" s="100"/>
      <c r="E120" s="101">
        <f>D120/D107*100</f>
        <v>0</v>
      </c>
      <c r="F120" s="101" t="e">
        <f t="shared" si="17"/>
        <v>#DIV/0!</v>
      </c>
      <c r="G120" s="101" t="e">
        <f t="shared" si="14"/>
        <v>#DIV/0!</v>
      </c>
      <c r="H120" s="102">
        <f t="shared" si="18"/>
        <v>0</v>
      </c>
      <c r="I120" s="102">
        <f t="shared" si="16"/>
        <v>0</v>
      </c>
      <c r="K120" s="157"/>
      <c r="L120" s="103"/>
    </row>
    <row r="121" spans="1:12" s="116" customFormat="1" ht="21.75" customHeight="1">
      <c r="A121" s="109" t="s">
        <v>95</v>
      </c>
      <c r="B121" s="110">
        <f>15.1-8.4+16.8+6.7</f>
        <v>30.2</v>
      </c>
      <c r="C121" s="111">
        <v>45.2</v>
      </c>
      <c r="D121" s="112"/>
      <c r="E121" s="115">
        <f>D121/D107*100</f>
        <v>0</v>
      </c>
      <c r="F121" s="101">
        <f t="shared" si="17"/>
        <v>0</v>
      </c>
      <c r="G121" s="101">
        <f t="shared" si="14"/>
        <v>0</v>
      </c>
      <c r="H121" s="102">
        <f t="shared" si="18"/>
        <v>30.2</v>
      </c>
      <c r="I121" s="102">
        <f t="shared" si="16"/>
        <v>45.2</v>
      </c>
      <c r="K121" s="157"/>
      <c r="L121" s="103"/>
    </row>
    <row r="122" spans="1:12" s="119" customFormat="1" ht="18" hidden="1">
      <c r="A122" s="104" t="s">
        <v>81</v>
      </c>
      <c r="B122" s="105"/>
      <c r="C122" s="106"/>
      <c r="D122" s="107"/>
      <c r="E122" s="101"/>
      <c r="F122" s="118" t="e">
        <f>D122/B122*100</f>
        <v>#DIV/0!</v>
      </c>
      <c r="G122" s="108" t="e">
        <f t="shared" si="14"/>
        <v>#DIV/0!</v>
      </c>
      <c r="H122" s="106">
        <f t="shared" si="18"/>
        <v>0</v>
      </c>
      <c r="I122" s="106">
        <f t="shared" si="16"/>
        <v>0</v>
      </c>
      <c r="K122" s="157"/>
      <c r="L122" s="103"/>
    </row>
    <row r="123" spans="1:12" s="119" customFormat="1" ht="18" hidden="1">
      <c r="A123" s="104" t="s">
        <v>50</v>
      </c>
      <c r="B123" s="105"/>
      <c r="C123" s="106"/>
      <c r="D123" s="107"/>
      <c r="E123" s="101"/>
      <c r="F123" s="108" t="e">
        <f>D123/B123*100</f>
        <v>#DIV/0!</v>
      </c>
      <c r="G123" s="108" t="e">
        <f t="shared" si="14"/>
        <v>#DIV/0!</v>
      </c>
      <c r="H123" s="106">
        <f t="shared" si="18"/>
        <v>0</v>
      </c>
      <c r="I123" s="106">
        <f t="shared" si="16"/>
        <v>0</v>
      </c>
      <c r="K123" s="157"/>
      <c r="L123" s="103"/>
    </row>
    <row r="124" spans="1:12" s="116" customFormat="1" ht="36.75">
      <c r="A124" s="109" t="s">
        <v>96</v>
      </c>
      <c r="B124" s="110">
        <f>3529.6+3529.6</f>
        <v>7059.2</v>
      </c>
      <c r="C124" s="111">
        <v>10588.8</v>
      </c>
      <c r="D124" s="112">
        <f>3529.6+2264.3</f>
        <v>5793.9</v>
      </c>
      <c r="E124" s="115">
        <f>D124/D107*100</f>
        <v>53.01545472014054</v>
      </c>
      <c r="F124" s="101">
        <f t="shared" si="17"/>
        <v>82.07587262012692</v>
      </c>
      <c r="G124" s="101">
        <f t="shared" si="14"/>
        <v>54.71724841341795</v>
      </c>
      <c r="H124" s="102">
        <f t="shared" si="18"/>
        <v>1265.3000000000002</v>
      </c>
      <c r="I124" s="102">
        <f t="shared" si="16"/>
        <v>4794.9</v>
      </c>
      <c r="K124" s="157"/>
      <c r="L124" s="103"/>
    </row>
    <row r="125" spans="1:12" s="116" customFormat="1" ht="18">
      <c r="A125" s="109" t="s">
        <v>92</v>
      </c>
      <c r="B125" s="110">
        <f>59.4+59.4</f>
        <v>118.8</v>
      </c>
      <c r="C125" s="111">
        <v>178.2</v>
      </c>
      <c r="D125" s="112"/>
      <c r="E125" s="115">
        <f>D125/D107*100</f>
        <v>0</v>
      </c>
      <c r="F125" s="101">
        <f t="shared" si="17"/>
        <v>0</v>
      </c>
      <c r="G125" s="101">
        <f t="shared" si="14"/>
        <v>0</v>
      </c>
      <c r="H125" s="102">
        <f t="shared" si="18"/>
        <v>118.8</v>
      </c>
      <c r="I125" s="102">
        <f t="shared" si="16"/>
        <v>178.2</v>
      </c>
      <c r="K125" s="157"/>
      <c r="L125" s="103"/>
    </row>
    <row r="126" spans="1:12" s="116" customFormat="1" ht="36.75">
      <c r="A126" s="109" t="s">
        <v>101</v>
      </c>
      <c r="B126" s="110">
        <f>16.7+16.7</f>
        <v>33.4</v>
      </c>
      <c r="C126" s="111">
        <v>50.1</v>
      </c>
      <c r="D126" s="112"/>
      <c r="E126" s="115">
        <f>D126/D107*100</f>
        <v>0</v>
      </c>
      <c r="F126" s="101">
        <f t="shared" si="17"/>
        <v>0</v>
      </c>
      <c r="G126" s="101">
        <f t="shared" si="14"/>
        <v>0</v>
      </c>
      <c r="H126" s="102">
        <f t="shared" si="18"/>
        <v>33.4</v>
      </c>
      <c r="I126" s="102">
        <f t="shared" si="16"/>
        <v>50.1</v>
      </c>
      <c r="K126" s="157"/>
      <c r="L126" s="103"/>
    </row>
    <row r="127" spans="1:12" s="116" customFormat="1" ht="36.75">
      <c r="A127" s="109" t="s">
        <v>86</v>
      </c>
      <c r="B127" s="110">
        <f>41.3+41.3</f>
        <v>82.6</v>
      </c>
      <c r="C127" s="111">
        <v>123.9</v>
      </c>
      <c r="D127" s="112"/>
      <c r="E127" s="115">
        <f>D127/D107*100</f>
        <v>0</v>
      </c>
      <c r="F127" s="101">
        <f t="shared" si="17"/>
        <v>0</v>
      </c>
      <c r="G127" s="101">
        <f t="shared" si="14"/>
        <v>0</v>
      </c>
      <c r="H127" s="102">
        <f t="shared" si="18"/>
        <v>82.6</v>
      </c>
      <c r="I127" s="102">
        <f t="shared" si="16"/>
        <v>123.9</v>
      </c>
      <c r="J127" s="159"/>
      <c r="K127" s="157"/>
      <c r="L127" s="103"/>
    </row>
    <row r="128" spans="1:12" s="116" customFormat="1" ht="36.75">
      <c r="A128" s="109" t="s">
        <v>58</v>
      </c>
      <c r="B128" s="110">
        <f>96.1+96.1</f>
        <v>192.2</v>
      </c>
      <c r="C128" s="111">
        <v>288.3</v>
      </c>
      <c r="D128" s="112">
        <f>7+4.2+0.1</f>
        <v>11.299999999999999</v>
      </c>
      <c r="E128" s="115">
        <f>D128/D107*100</f>
        <v>0.10339747636955902</v>
      </c>
      <c r="F128" s="101">
        <f t="shared" si="17"/>
        <v>5.879292403746097</v>
      </c>
      <c r="G128" s="101">
        <f t="shared" si="14"/>
        <v>3.9195282691640645</v>
      </c>
      <c r="H128" s="102">
        <f t="shared" si="18"/>
        <v>180.89999999999998</v>
      </c>
      <c r="I128" s="102">
        <f t="shared" si="16"/>
        <v>277</v>
      </c>
      <c r="K128" s="174"/>
      <c r="L128" s="175"/>
    </row>
    <row r="129" spans="1:12" s="117" customFormat="1" ht="18">
      <c r="A129" s="104" t="s">
        <v>89</v>
      </c>
      <c r="B129" s="105">
        <f>7+51.1</f>
        <v>58.1</v>
      </c>
      <c r="C129" s="106">
        <v>65.2</v>
      </c>
      <c r="D129" s="107">
        <v>7</v>
      </c>
      <c r="E129" s="108">
        <f>D129/D128*100</f>
        <v>61.946902654867266</v>
      </c>
      <c r="F129" s="108">
        <f>D129/B129*100</f>
        <v>12.048192771084338</v>
      </c>
      <c r="G129" s="108">
        <f t="shared" si="14"/>
        <v>10.736196319018404</v>
      </c>
      <c r="H129" s="106">
        <f t="shared" si="18"/>
        <v>51.1</v>
      </c>
      <c r="I129" s="106">
        <f t="shared" si="16"/>
        <v>58.2</v>
      </c>
      <c r="K129" s="174"/>
      <c r="L129" s="175"/>
    </row>
    <row r="130" spans="1:12" s="116" customFormat="1" ht="36.75" hidden="1">
      <c r="A130" s="109" t="s">
        <v>104</v>
      </c>
      <c r="B130" s="110"/>
      <c r="C130" s="111"/>
      <c r="D130" s="112"/>
      <c r="E130" s="115">
        <f>D130/D107*100</f>
        <v>0</v>
      </c>
      <c r="F130" s="113" t="e">
        <f t="shared" si="17"/>
        <v>#DIV/0!</v>
      </c>
      <c r="G130" s="101" t="e">
        <f t="shared" si="14"/>
        <v>#DIV/0!</v>
      </c>
      <c r="H130" s="102">
        <f t="shared" si="18"/>
        <v>0</v>
      </c>
      <c r="I130" s="102">
        <f t="shared" si="16"/>
        <v>0</v>
      </c>
      <c r="K130" s="174"/>
      <c r="L130" s="175"/>
    </row>
    <row r="131" spans="1:12" s="117" customFormat="1" ht="18" hidden="1">
      <c r="A131" s="114" t="s">
        <v>44</v>
      </c>
      <c r="B131" s="105"/>
      <c r="C131" s="106"/>
      <c r="D131" s="107"/>
      <c r="E131" s="108"/>
      <c r="F131" s="108" t="e">
        <f>D131/B131*100</f>
        <v>#DIV/0!</v>
      </c>
      <c r="G131" s="108" t="e">
        <f t="shared" si="14"/>
        <v>#DIV/0!</v>
      </c>
      <c r="H131" s="106">
        <f t="shared" si="18"/>
        <v>0</v>
      </c>
      <c r="I131" s="106">
        <f t="shared" si="16"/>
        <v>0</v>
      </c>
      <c r="K131" s="174"/>
      <c r="L131" s="175"/>
    </row>
    <row r="132" spans="1:12" s="116" customFormat="1" ht="35.25" customHeight="1" hidden="1">
      <c r="A132" s="109" t="s">
        <v>103</v>
      </c>
      <c r="B132" s="110"/>
      <c r="C132" s="111"/>
      <c r="D132" s="112"/>
      <c r="E132" s="115">
        <f>D132/D107*100</f>
        <v>0</v>
      </c>
      <c r="F132" s="101" t="e">
        <f t="shared" si="17"/>
        <v>#DIV/0!</v>
      </c>
      <c r="G132" s="101" t="e">
        <f t="shared" si="14"/>
        <v>#DIV/0!</v>
      </c>
      <c r="H132" s="102">
        <f t="shared" si="18"/>
        <v>0</v>
      </c>
      <c r="I132" s="102">
        <f>C132-D132</f>
        <v>0</v>
      </c>
      <c r="K132" s="174"/>
      <c r="L132" s="175"/>
    </row>
    <row r="133" spans="1:12" s="116" customFormat="1" ht="21.75" customHeight="1" hidden="1">
      <c r="A133" s="109" t="s">
        <v>102</v>
      </c>
      <c r="B133" s="110"/>
      <c r="C133" s="111"/>
      <c r="D133" s="112"/>
      <c r="E133" s="115">
        <f>D133/D107*100</f>
        <v>0</v>
      </c>
      <c r="F133" s="101" t="e">
        <f t="shared" si="17"/>
        <v>#DIV/0!</v>
      </c>
      <c r="G133" s="101" t="e">
        <f t="shared" si="14"/>
        <v>#DIV/0!</v>
      </c>
      <c r="H133" s="102">
        <f t="shared" si="18"/>
        <v>0</v>
      </c>
      <c r="I133" s="102">
        <f t="shared" si="16"/>
        <v>0</v>
      </c>
      <c r="K133" s="174"/>
      <c r="L133" s="175"/>
    </row>
    <row r="134" spans="1:12" s="116" customFormat="1" ht="35.25" customHeight="1">
      <c r="A134" s="109" t="s">
        <v>88</v>
      </c>
      <c r="B134" s="110">
        <f>29.8-29.8+29.8</f>
        <v>29.8</v>
      </c>
      <c r="C134" s="111">
        <v>89.5</v>
      </c>
      <c r="D134" s="112"/>
      <c r="E134" s="115">
        <f>D134/D107*100</f>
        <v>0</v>
      </c>
      <c r="F134" s="101">
        <f t="shared" si="17"/>
        <v>0</v>
      </c>
      <c r="G134" s="101">
        <f t="shared" si="14"/>
        <v>0</v>
      </c>
      <c r="H134" s="102">
        <f t="shared" si="18"/>
        <v>29.8</v>
      </c>
      <c r="I134" s="102">
        <f t="shared" si="16"/>
        <v>89.5</v>
      </c>
      <c r="K134" s="174"/>
      <c r="L134" s="175"/>
    </row>
    <row r="135" spans="1:12" s="116" customFormat="1" ht="39" customHeight="1" hidden="1">
      <c r="A135" s="109" t="s">
        <v>55</v>
      </c>
      <c r="B135" s="110"/>
      <c r="C135" s="111"/>
      <c r="D135" s="112"/>
      <c r="E135" s="115">
        <f>D135/D107*100</f>
        <v>0</v>
      </c>
      <c r="F135" s="101" t="e">
        <f t="shared" si="17"/>
        <v>#DIV/0!</v>
      </c>
      <c r="G135" s="101" t="e">
        <f t="shared" si="14"/>
        <v>#DIV/0!</v>
      </c>
      <c r="H135" s="102">
        <f t="shared" si="18"/>
        <v>0</v>
      </c>
      <c r="I135" s="102">
        <f t="shared" si="16"/>
        <v>0</v>
      </c>
      <c r="K135" s="174"/>
      <c r="L135" s="175"/>
    </row>
    <row r="136" spans="1:12" s="117" customFormat="1" ht="18" hidden="1">
      <c r="A136" s="104" t="s">
        <v>89</v>
      </c>
      <c r="B136" s="105"/>
      <c r="C136" s="106"/>
      <c r="D136" s="107"/>
      <c r="E136" s="108"/>
      <c r="F136" s="101" t="e">
        <f>D136/B136*100</f>
        <v>#DIV/0!</v>
      </c>
      <c r="G136" s="108" t="e">
        <f>D136/C136*100</f>
        <v>#DIV/0!</v>
      </c>
      <c r="H136" s="106">
        <f>B136-D136</f>
        <v>0</v>
      </c>
      <c r="I136" s="106">
        <f>C136-D136</f>
        <v>0</v>
      </c>
      <c r="K136" s="174"/>
      <c r="L136" s="175"/>
    </row>
    <row r="137" spans="1:12" s="116" customFormat="1" ht="36.75" hidden="1">
      <c r="A137" s="109" t="s">
        <v>85</v>
      </c>
      <c r="B137" s="110"/>
      <c r="C137" s="111"/>
      <c r="D137" s="112"/>
      <c r="E137" s="115">
        <f>D137/D107*100</f>
        <v>0</v>
      </c>
      <c r="F137" s="101" t="e">
        <f>D137/B137*100</f>
        <v>#DIV/0!</v>
      </c>
      <c r="G137" s="101" t="e">
        <f>D137/C137*100</f>
        <v>#DIV/0!</v>
      </c>
      <c r="H137" s="102">
        <f t="shared" si="18"/>
        <v>0</v>
      </c>
      <c r="I137" s="102">
        <f t="shared" si="16"/>
        <v>0</v>
      </c>
      <c r="K137" s="174"/>
      <c r="L137" s="175"/>
    </row>
    <row r="138" spans="1:12" s="117" customFormat="1" ht="18" hidden="1">
      <c r="A138" s="104" t="s">
        <v>26</v>
      </c>
      <c r="B138" s="105"/>
      <c r="C138" s="106"/>
      <c r="D138" s="107"/>
      <c r="E138" s="108" t="e">
        <f>D138/D137*100</f>
        <v>#DIV/0!</v>
      </c>
      <c r="F138" s="108" t="e">
        <f t="shared" si="17"/>
        <v>#DIV/0!</v>
      </c>
      <c r="G138" s="108" t="e">
        <f>D138/C138*100</f>
        <v>#DIV/0!</v>
      </c>
      <c r="H138" s="106">
        <f t="shared" si="18"/>
        <v>0</v>
      </c>
      <c r="I138" s="106">
        <f t="shared" si="16"/>
        <v>0</v>
      </c>
      <c r="K138" s="174"/>
      <c r="L138" s="175"/>
    </row>
    <row r="139" spans="1:12" s="116" customFormat="1" ht="18">
      <c r="A139" s="109" t="s">
        <v>97</v>
      </c>
      <c r="B139" s="110">
        <f>126+126</f>
        <v>252</v>
      </c>
      <c r="C139" s="111">
        <v>378</v>
      </c>
      <c r="D139" s="112">
        <f>107.3+0.4</f>
        <v>107.7</v>
      </c>
      <c r="E139" s="115">
        <f>D139/D107*100</f>
        <v>0.9854786022125229</v>
      </c>
      <c r="F139" s="101">
        <f t="shared" si="17"/>
        <v>42.73809523809524</v>
      </c>
      <c r="G139" s="101">
        <f t="shared" si="14"/>
        <v>28.49206349206349</v>
      </c>
      <c r="H139" s="102">
        <f t="shared" si="18"/>
        <v>144.3</v>
      </c>
      <c r="I139" s="102">
        <f t="shared" si="16"/>
        <v>270.3</v>
      </c>
      <c r="K139" s="174"/>
      <c r="L139" s="175"/>
    </row>
    <row r="140" spans="1:12" s="117" customFormat="1" ht="18">
      <c r="A140" s="114" t="s">
        <v>44</v>
      </c>
      <c r="B140" s="105">
        <f>115.1+116.5</f>
        <v>231.6</v>
      </c>
      <c r="C140" s="106">
        <v>348</v>
      </c>
      <c r="D140" s="107">
        <v>107.3</v>
      </c>
      <c r="E140" s="108">
        <f>D140/D139*100</f>
        <v>99.62859795728876</v>
      </c>
      <c r="F140" s="108">
        <f aca="true" t="shared" si="19" ref="F140:F149">D140/B140*100</f>
        <v>46.32987910189983</v>
      </c>
      <c r="G140" s="108">
        <f t="shared" si="14"/>
        <v>30.833333333333336</v>
      </c>
      <c r="H140" s="106">
        <f t="shared" si="18"/>
        <v>124.3</v>
      </c>
      <c r="I140" s="106">
        <f t="shared" si="16"/>
        <v>240.7</v>
      </c>
      <c r="K140" s="174"/>
      <c r="L140" s="175"/>
    </row>
    <row r="141" spans="1:13" s="117" customFormat="1" ht="18">
      <c r="A141" s="104" t="s">
        <v>26</v>
      </c>
      <c r="B141" s="105">
        <f>8+7.4</f>
        <v>15.4</v>
      </c>
      <c r="C141" s="106">
        <v>21.9</v>
      </c>
      <c r="D141" s="107">
        <v>0.4</v>
      </c>
      <c r="E141" s="108">
        <f>D141/D139*100</f>
        <v>0.3714020427112349</v>
      </c>
      <c r="F141" s="108">
        <f t="shared" si="19"/>
        <v>2.5974025974025974</v>
      </c>
      <c r="G141" s="108">
        <f>D141/C141*100</f>
        <v>1.8264840182648405</v>
      </c>
      <c r="H141" s="106">
        <f t="shared" si="18"/>
        <v>15</v>
      </c>
      <c r="I141" s="106">
        <f t="shared" si="16"/>
        <v>21.5</v>
      </c>
      <c r="K141" s="174"/>
      <c r="L141" s="175"/>
      <c r="M141" s="158"/>
    </row>
    <row r="142" spans="1:12" s="116" customFormat="1" ht="33.75" customHeight="1" hidden="1">
      <c r="A142" s="120" t="s">
        <v>57</v>
      </c>
      <c r="B142" s="110"/>
      <c r="C142" s="111"/>
      <c r="D142" s="112"/>
      <c r="E142" s="115">
        <f>D142/D107*100</f>
        <v>0</v>
      </c>
      <c r="F142" s="101" t="e">
        <f t="shared" si="19"/>
        <v>#DIV/0!</v>
      </c>
      <c r="G142" s="101" t="e">
        <f t="shared" si="14"/>
        <v>#DIV/0!</v>
      </c>
      <c r="H142" s="102">
        <f t="shared" si="18"/>
        <v>0</v>
      </c>
      <c r="I142" s="102">
        <f t="shared" si="16"/>
        <v>0</v>
      </c>
      <c r="K142" s="174"/>
      <c r="L142" s="175"/>
    </row>
    <row r="143" spans="1:12" s="116" customFormat="1" ht="18" hidden="1">
      <c r="A143" s="120" t="s">
        <v>93</v>
      </c>
      <c r="B143" s="110"/>
      <c r="C143" s="111"/>
      <c r="D143" s="112"/>
      <c r="E143" s="115">
        <f>D143/D107*100</f>
        <v>0</v>
      </c>
      <c r="F143" s="101" t="e">
        <f>D143/B143*100</f>
        <v>#DIV/0!</v>
      </c>
      <c r="G143" s="101" t="e">
        <f t="shared" si="14"/>
        <v>#DIV/0!</v>
      </c>
      <c r="H143" s="102">
        <f t="shared" si="18"/>
        <v>0</v>
      </c>
      <c r="I143" s="102">
        <f t="shared" si="16"/>
        <v>0</v>
      </c>
      <c r="K143" s="174"/>
      <c r="L143" s="175"/>
    </row>
    <row r="144" spans="1:12" s="116" customFormat="1" ht="18">
      <c r="A144" s="120" t="s">
        <v>98</v>
      </c>
      <c r="B144" s="110">
        <f>3250-528.7+3250</f>
        <v>5971.3</v>
      </c>
      <c r="C144" s="111">
        <v>9750</v>
      </c>
      <c r="D144" s="112">
        <f>254.7+197.5+629.8</f>
        <v>1082</v>
      </c>
      <c r="E144" s="115">
        <f>D144/D107*100</f>
        <v>9.900537117863973</v>
      </c>
      <c r="F144" s="101">
        <f t="shared" si="19"/>
        <v>18.120007368579707</v>
      </c>
      <c r="G144" s="101">
        <f t="shared" si="14"/>
        <v>11.097435897435897</v>
      </c>
      <c r="H144" s="102">
        <f t="shared" si="18"/>
        <v>4889.3</v>
      </c>
      <c r="I144" s="102">
        <f t="shared" si="16"/>
        <v>8668</v>
      </c>
      <c r="K144" s="174"/>
      <c r="L144" s="175"/>
    </row>
    <row r="145" spans="1:12" s="116" customFormat="1" ht="18" hidden="1">
      <c r="A145" s="120" t="s">
        <v>87</v>
      </c>
      <c r="B145" s="110"/>
      <c r="C145" s="111"/>
      <c r="D145" s="112"/>
      <c r="E145" s="115">
        <f>D145/D107*100</f>
        <v>0</v>
      </c>
      <c r="F145" s="101" t="e">
        <f t="shared" si="19"/>
        <v>#DIV/0!</v>
      </c>
      <c r="G145" s="101" t="e">
        <f t="shared" si="14"/>
        <v>#DIV/0!</v>
      </c>
      <c r="H145" s="102">
        <f t="shared" si="18"/>
        <v>0</v>
      </c>
      <c r="I145" s="102">
        <f t="shared" si="16"/>
        <v>0</v>
      </c>
      <c r="K145" s="174"/>
      <c r="L145" s="175"/>
    </row>
    <row r="146" spans="1:12" s="116" customFormat="1" ht="36.75" hidden="1">
      <c r="A146" s="120" t="s">
        <v>105</v>
      </c>
      <c r="B146" s="110"/>
      <c r="C146" s="111"/>
      <c r="D146" s="112"/>
      <c r="E146" s="115">
        <f>D146/D109*100</f>
        <v>0</v>
      </c>
      <c r="F146" s="101" t="e">
        <f>D146/B146*100</f>
        <v>#DIV/0!</v>
      </c>
      <c r="G146" s="101" t="e">
        <f>D146/C146*100</f>
        <v>#DIV/0!</v>
      </c>
      <c r="H146" s="102">
        <f>B146-D146</f>
        <v>0</v>
      </c>
      <c r="I146" s="102">
        <f>C146-D146</f>
        <v>0</v>
      </c>
      <c r="K146" s="174"/>
      <c r="L146" s="175"/>
    </row>
    <row r="147" spans="1:12" s="116" customFormat="1" ht="18">
      <c r="A147" s="109" t="s">
        <v>99</v>
      </c>
      <c r="B147" s="110">
        <v>0</v>
      </c>
      <c r="C147" s="111">
        <v>46.4</v>
      </c>
      <c r="D147" s="112"/>
      <c r="E147" s="115">
        <f>D147/D107*100</f>
        <v>0</v>
      </c>
      <c r="F147" s="101" t="e">
        <f t="shared" si="19"/>
        <v>#DIV/0!</v>
      </c>
      <c r="G147" s="101">
        <f t="shared" si="14"/>
        <v>0</v>
      </c>
      <c r="H147" s="102">
        <f t="shared" si="18"/>
        <v>0</v>
      </c>
      <c r="I147" s="102">
        <f t="shared" si="16"/>
        <v>46.4</v>
      </c>
      <c r="K147" s="174"/>
      <c r="L147" s="175"/>
    </row>
    <row r="148" spans="1:12" s="116" customFormat="1" ht="18.75" customHeight="1" hidden="1">
      <c r="A148" s="109" t="s">
        <v>78</v>
      </c>
      <c r="B148" s="110"/>
      <c r="C148" s="111"/>
      <c r="D148" s="112"/>
      <c r="E148" s="115">
        <f>D148/D107*100</f>
        <v>0</v>
      </c>
      <c r="F148" s="101" t="e">
        <f t="shared" si="19"/>
        <v>#DIV/0!</v>
      </c>
      <c r="G148" s="101" t="e">
        <f t="shared" si="14"/>
        <v>#DIV/0!</v>
      </c>
      <c r="H148" s="102">
        <f t="shared" si="18"/>
        <v>0</v>
      </c>
      <c r="I148" s="102">
        <f t="shared" si="16"/>
        <v>0</v>
      </c>
      <c r="K148" s="174"/>
      <c r="L148" s="175"/>
    </row>
    <row r="149" spans="1:12" s="116" customFormat="1" ht="19.5" customHeight="1">
      <c r="A149" s="150" t="s">
        <v>51</v>
      </c>
      <c r="B149" s="151">
        <v>0</v>
      </c>
      <c r="C149" s="152">
        <v>561.9</v>
      </c>
      <c r="D149" s="153"/>
      <c r="E149" s="154">
        <f>D149/D107*100</f>
        <v>0</v>
      </c>
      <c r="F149" s="155" t="e">
        <f t="shared" si="19"/>
        <v>#DIV/0!</v>
      </c>
      <c r="G149" s="155">
        <f t="shared" si="14"/>
        <v>0</v>
      </c>
      <c r="H149" s="156">
        <f t="shared" si="18"/>
        <v>0</v>
      </c>
      <c r="I149" s="156">
        <f>C149-D149</f>
        <v>561.9</v>
      </c>
      <c r="K149" s="174"/>
      <c r="L149" s="175"/>
    </row>
    <row r="150" spans="1:12" s="116" customFormat="1" ht="18">
      <c r="A150" s="109" t="s">
        <v>100</v>
      </c>
      <c r="B150" s="110">
        <f>2457.1+1062.3+3519.4</f>
        <v>7038.799999999999</v>
      </c>
      <c r="C150" s="111">
        <v>7371.3</v>
      </c>
      <c r="D150" s="112">
        <f>819+819+819.1+1062.3</f>
        <v>3519.3999999999996</v>
      </c>
      <c r="E150" s="115">
        <f>D150/D107*100</f>
        <v>32.20328126858637</v>
      </c>
      <c r="F150" s="101">
        <f t="shared" si="17"/>
        <v>50</v>
      </c>
      <c r="G150" s="101">
        <f t="shared" si="14"/>
        <v>47.74463120480783</v>
      </c>
      <c r="H150" s="102">
        <f t="shared" si="18"/>
        <v>3519.3999999999996</v>
      </c>
      <c r="I150" s="102">
        <f t="shared" si="16"/>
        <v>3851.9000000000005</v>
      </c>
      <c r="K150" s="174"/>
      <c r="L150" s="175"/>
    </row>
    <row r="151" spans="1:12" s="2" customFormat="1" ht="18.75" thickBot="1">
      <c r="A151" s="29" t="s">
        <v>30</v>
      </c>
      <c r="B151" s="63"/>
      <c r="C151" s="63"/>
      <c r="D151" s="44">
        <f>D43+D69+D72+D77+D79+D87+D102+D107+D100+D84+D98</f>
        <v>11288.6</v>
      </c>
      <c r="E151" s="15"/>
      <c r="F151" s="15"/>
      <c r="G151" s="6"/>
      <c r="H151" s="52"/>
      <c r="I151" s="44"/>
      <c r="K151" s="174"/>
      <c r="L151" s="176"/>
    </row>
    <row r="152" spans="1:12" ht="18.75" thickBot="1">
      <c r="A152" s="12" t="s">
        <v>18</v>
      </c>
      <c r="B152" s="40">
        <f>B6+B18+B33+B43+B51+B59+B69+B72+B77+B79+B87+B90+B95+B102+B107+B100+B84+B98+B45</f>
        <v>246483.4</v>
      </c>
      <c r="C152" s="40">
        <f>C6+C18+C33+C43+C51+C59+C69+C72+C77+C79+C87+C90+C95+C102+C107+C100+C84+C98+C45</f>
        <v>367146.53</v>
      </c>
      <c r="D152" s="40">
        <f>D6+D18+D33+D43+D51+D59+D69+D72+D77+D79+D87+D90+D95+D102+D107+D100+D84+D98+D45</f>
        <v>108297.69999999998</v>
      </c>
      <c r="E152" s="28">
        <v>100</v>
      </c>
      <c r="F152" s="3">
        <f>D152/B152*100</f>
        <v>43.937117063461464</v>
      </c>
      <c r="G152" s="3">
        <f aca="true" t="shared" si="20" ref="G152:G158">D152/C152*100</f>
        <v>29.49713292946006</v>
      </c>
      <c r="H152" s="40">
        <f aca="true" t="shared" si="21" ref="H152:H158">B152-D152</f>
        <v>138185.7</v>
      </c>
      <c r="I152" s="40">
        <f aca="true" t="shared" si="22" ref="I152:I158">C152-D152</f>
        <v>258848.83000000005</v>
      </c>
      <c r="K152" s="177"/>
      <c r="L152" s="178"/>
    </row>
    <row r="153" spans="1:12" ht="18">
      <c r="A153" s="16" t="s">
        <v>5</v>
      </c>
      <c r="B153" s="51">
        <f>B8+B20+B34+B52+B60+B91+B115+B119+B46+B140+B131+B103</f>
        <v>119642.50000000001</v>
      </c>
      <c r="C153" s="51">
        <f>C8+C20+C34+C52+C60+C91+C115+C119+C46+C140+C131+C103</f>
        <v>192261.8</v>
      </c>
      <c r="D153" s="51">
        <f>D8+D20+D34+D52+D60+D91+D115+D119+D46+D140+D131+D103</f>
        <v>63429.71</v>
      </c>
      <c r="E153" s="6">
        <f>D153/D152*100</f>
        <v>58.56976648626888</v>
      </c>
      <c r="F153" s="6">
        <f aca="true" t="shared" si="23" ref="F153:F158">D153/B153*100</f>
        <v>53.01603527174707</v>
      </c>
      <c r="G153" s="6">
        <f t="shared" si="20"/>
        <v>32.99132224914153</v>
      </c>
      <c r="H153" s="52">
        <f t="shared" si="21"/>
        <v>56212.790000000015</v>
      </c>
      <c r="I153" s="62">
        <f t="shared" si="22"/>
        <v>128832.09</v>
      </c>
      <c r="K153" s="174"/>
      <c r="L153" s="178"/>
    </row>
    <row r="154" spans="1:12" ht="18">
      <c r="A154" s="16" t="s">
        <v>0</v>
      </c>
      <c r="B154" s="52">
        <f>B11+B23+B36+B55+B62+B92+B49+B141+B109+B112+B96+B138</f>
        <v>10820.3</v>
      </c>
      <c r="C154" s="52">
        <f>C11+C23+C36+C55+C62+C92+C49+C141+C109+C112+C96+C138</f>
        <v>15300.400000000001</v>
      </c>
      <c r="D154" s="52">
        <f>D11+D23+D36+D55+D62+D92+D49+D141+D109+D112+D96+D138</f>
        <v>2803.9000000000005</v>
      </c>
      <c r="E154" s="6">
        <f>D154/D152*100</f>
        <v>2.5890669884956017</v>
      </c>
      <c r="F154" s="6">
        <f t="shared" si="23"/>
        <v>25.913329574965584</v>
      </c>
      <c r="G154" s="6">
        <f t="shared" si="20"/>
        <v>18.32566468850488</v>
      </c>
      <c r="H154" s="52">
        <f t="shared" si="21"/>
        <v>8016.399999999999</v>
      </c>
      <c r="I154" s="62">
        <f t="shared" si="22"/>
        <v>12496.5</v>
      </c>
      <c r="K154" s="174"/>
      <c r="L154" s="179"/>
    </row>
    <row r="155" spans="1:12" ht="18">
      <c r="A155" s="16" t="s">
        <v>1</v>
      </c>
      <c r="B155" s="51">
        <f>B22+B10+B54+B48+B61+B35+B123</f>
        <v>7254.599999999999</v>
      </c>
      <c r="C155" s="51">
        <f>C22+C10+C54+C48+C61+C35+C123</f>
        <v>11076.999999999998</v>
      </c>
      <c r="D155" s="51">
        <f>D22+D10+D54+D48+D61+D35+D123</f>
        <v>650.6</v>
      </c>
      <c r="E155" s="6">
        <f>D155/D152*100</f>
        <v>0.6007514471683149</v>
      </c>
      <c r="F155" s="6">
        <f t="shared" si="23"/>
        <v>8.968102996719324</v>
      </c>
      <c r="G155" s="6">
        <f t="shared" si="20"/>
        <v>5.873431434503928</v>
      </c>
      <c r="H155" s="52">
        <f t="shared" si="21"/>
        <v>6603.999999999999</v>
      </c>
      <c r="I155" s="62">
        <f t="shared" si="22"/>
        <v>10426.399999999998</v>
      </c>
      <c r="K155" s="174"/>
      <c r="L155" s="178"/>
    </row>
    <row r="156" spans="1:12" ht="21" customHeight="1">
      <c r="A156" s="16" t="s">
        <v>14</v>
      </c>
      <c r="B156" s="51">
        <f>B12+B24+B104+B63+B38+B93+B129+B56+B136</f>
        <v>3898.3999999999996</v>
      </c>
      <c r="C156" s="51">
        <f>C12+C24+C104+C63+C38+C93+C129+C56+C136</f>
        <v>5516</v>
      </c>
      <c r="D156" s="51">
        <f>D12+D24+D104+D63+D38+D93+D129+D56+D136</f>
        <v>1544.2999999999997</v>
      </c>
      <c r="E156" s="6">
        <f>D156/D152*100</f>
        <v>1.4259767289610028</v>
      </c>
      <c r="F156" s="6">
        <f t="shared" si="23"/>
        <v>39.61368766673507</v>
      </c>
      <c r="G156" s="6">
        <f t="shared" si="20"/>
        <v>27.996736765772294</v>
      </c>
      <c r="H156" s="52">
        <f>B156-D156</f>
        <v>2354.1</v>
      </c>
      <c r="I156" s="62">
        <f t="shared" si="22"/>
        <v>3971.7000000000003</v>
      </c>
      <c r="K156" s="174"/>
      <c r="L156" s="179"/>
    </row>
    <row r="157" spans="1:12" ht="18">
      <c r="A157" s="16" t="s">
        <v>2</v>
      </c>
      <c r="B157" s="51">
        <f>B9+B21+B47+B53+B122</f>
        <v>0</v>
      </c>
      <c r="C157" s="51">
        <f>C9+C21+C47+C53+C122</f>
        <v>0</v>
      </c>
      <c r="D157" s="51">
        <f>D9+D21+D47+D53+D122</f>
        <v>0</v>
      </c>
      <c r="E157" s="6">
        <f>D157/D152*100</f>
        <v>0</v>
      </c>
      <c r="F157" s="6" t="e">
        <f t="shared" si="23"/>
        <v>#DIV/0!</v>
      </c>
      <c r="G157" s="6" t="e">
        <f t="shared" si="20"/>
        <v>#DIV/0!</v>
      </c>
      <c r="H157" s="52">
        <f t="shared" si="21"/>
        <v>0</v>
      </c>
      <c r="I157" s="62">
        <f t="shared" si="22"/>
        <v>0</v>
      </c>
      <c r="K157" s="157"/>
      <c r="L157" s="33"/>
    </row>
    <row r="158" spans="1:12" ht="18.75" thickBot="1">
      <c r="A158" s="88" t="s">
        <v>28</v>
      </c>
      <c r="B158" s="64">
        <f>B152-B153-B154-B155-B156-B157</f>
        <v>104867.59999999998</v>
      </c>
      <c r="C158" s="64">
        <f>C152-C153-C154-C155-C156-C157</f>
        <v>142991.33000000005</v>
      </c>
      <c r="D158" s="64">
        <f>D152-D153-D154-D155-D156-D157</f>
        <v>39869.18999999998</v>
      </c>
      <c r="E158" s="31">
        <f>D158/D152*100</f>
        <v>36.814438349106204</v>
      </c>
      <c r="F158" s="31">
        <f t="shared" si="23"/>
        <v>38.01859678299112</v>
      </c>
      <c r="G158" s="31">
        <f t="shared" si="20"/>
        <v>27.88224293039303</v>
      </c>
      <c r="H158" s="89">
        <f t="shared" si="21"/>
        <v>64998.409999999996</v>
      </c>
      <c r="I158" s="89">
        <f t="shared" si="22"/>
        <v>103122.14000000007</v>
      </c>
      <c r="K158" s="157"/>
      <c r="L158" s="69"/>
    </row>
    <row r="159" spans="7:8" ht="12.75">
      <c r="G159" s="18"/>
      <c r="H159" s="18"/>
    </row>
    <row r="160" spans="3:11" ht="12.75">
      <c r="C160" s="157"/>
      <c r="G160" s="18"/>
      <c r="H160" s="18"/>
      <c r="I160" s="18"/>
      <c r="K160" s="95"/>
    </row>
    <row r="161" spans="7:11" ht="12.75">
      <c r="G161" s="18"/>
      <c r="H161" s="18"/>
      <c r="K161" s="95"/>
    </row>
    <row r="162" spans="7:11" ht="12.75">
      <c r="G162" s="18"/>
      <c r="H162" s="18"/>
      <c r="K162" s="95"/>
    </row>
    <row r="163" spans="4:8" ht="12.75">
      <c r="D163" s="157"/>
      <c r="G163" s="18"/>
      <c r="H163" s="18"/>
    </row>
    <row r="164" spans="7:8" ht="12.75">
      <c r="G164" s="18"/>
      <c r="H164" s="18"/>
    </row>
    <row r="165" spans="2:8" ht="12.75">
      <c r="B165" s="92"/>
      <c r="C165" s="92"/>
      <c r="D165" s="92"/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108297.69999999998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фінансування'!C152</f>
        <v>367146.53</v>
      </c>
    </row>
    <row r="2" spans="1:5" ht="15">
      <c r="A2" s="4"/>
      <c r="B2" s="4"/>
      <c r="C2" s="4"/>
      <c r="D2" s="4" t="s">
        <v>32</v>
      </c>
      <c r="E2" s="5">
        <f>'аналіз фінансування'!D152</f>
        <v>108297.69999999998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2018-02-02T12:45:12Z</cp:lastPrinted>
  <dcterms:created xsi:type="dcterms:W3CDTF">2000-06-20T04:48:00Z</dcterms:created>
  <dcterms:modified xsi:type="dcterms:W3CDTF">2018-02-08T05:54:16Z</dcterms:modified>
  <cp:category/>
  <cp:version/>
  <cp:contentType/>
  <cp:contentStatus/>
</cp:coreProperties>
</file>